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vertonparishcouncil-my.sharepoint.com/personal/clerk_silvertonparishcouncil_org_uk/Documents/SPC Shared Documents/July 2026/finance/"/>
    </mc:Choice>
  </mc:AlternateContent>
  <xr:revisionPtr revIDLastSave="0" documentId="8_{BA2F6624-21F0-4E56-8F34-91C915565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-27 budget and Spend" sheetId="17" r:id="rId1"/>
    <sheet name="Comparable Precepts" sheetId="8" r:id="rId2"/>
    <sheet name="Forecast Spend 24-25" sheetId="6" state="hidden" r:id="rId3"/>
    <sheet name="BudgerandActual Spend 24-25" sheetId="9" state="hidden" r:id="rId4"/>
    <sheet name="Spend Jan-Mar25" sheetId="11" state="hidden" r:id="rId5"/>
    <sheet name="Budget2527forNov25MtgEmailed" sheetId="10" state="hidden" r:id="rId6"/>
    <sheet name="Budget2527forNov25Mtg" sheetId="12" state="hidden" r:id="rId7"/>
    <sheet name="25-26 Spend 26-27 budget" sheetId="14" state="hidden" r:id="rId8"/>
    <sheet name="Precept for 26-27" sheetId="16" r:id="rId9"/>
    <sheet name="B" sheetId="15" r:id="rId10"/>
    <sheet name="Spend to End Nov" sheetId="1" state="hidden" r:id="rId11"/>
    <sheet name="Anticipated spend to End Year" sheetId="4" state="hidden" r:id="rId12"/>
    <sheet name="Notes" sheetId="7" state="hidden" r:id="rId13"/>
  </sheets>
  <definedNames>
    <definedName name="Inflation_Rate" localSheetId="7">'25-26 Spend 26-27 budget'!$X$2</definedName>
    <definedName name="Inflation_Rate" localSheetId="0">'26-27 budget and Spend'!$U$2</definedName>
    <definedName name="Inflation_Rate" localSheetId="6">Budget2527forNov25Mtg!$W$2</definedName>
    <definedName name="Inflation_Rate">Budget2527forNov25MtgEmailed!$W$2</definedName>
    <definedName name="inflation2728budget">'26-27 budget and Spend'!$T$3</definedName>
    <definedName name="_xlnm.Print_Titles" localSheetId="7">'25-26 Spend 26-27 budget'!$2:$2</definedName>
    <definedName name="_xlnm.Print_Titles" localSheetId="0">'26-27 budget and Spend'!$2:$2</definedName>
    <definedName name="_xlnm.Print_Titles" localSheetId="3">'BudgerandActual Spend 24-25'!$A:$A,'BudgerandActual Spend 24-25'!$1:$2</definedName>
    <definedName name="_xlnm.Print_Titles" localSheetId="6">Budget2527forNov25Mtg!$2:$2</definedName>
    <definedName name="_xlnm.Print_Titles" localSheetId="5">Budget2527forNov25MtgEmailed!$2:$2</definedName>
    <definedName name="_xlnm.Print_Titles" localSheetId="2">'Forecast Spend 24-25'!$A:$A,'Forecast Spend 24-25'!$1:$2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3" i="17" l="1"/>
  <c r="J133" i="17"/>
  <c r="K133" i="17"/>
  <c r="L133" i="17"/>
  <c r="M133" i="17"/>
  <c r="N133" i="17"/>
  <c r="O133" i="17"/>
  <c r="H133" i="17"/>
  <c r="G133" i="17"/>
  <c r="U99" i="17"/>
  <c r="G145" i="17"/>
  <c r="E147" i="17"/>
  <c r="I46" i="17"/>
  <c r="I73" i="17"/>
  <c r="O97" i="17"/>
  <c r="H9" i="17"/>
  <c r="W23" i="17"/>
  <c r="Q19" i="17" l="1"/>
  <c r="Q18" i="17"/>
  <c r="R18" i="17" s="1"/>
  <c r="W79" i="17"/>
  <c r="E73" i="17"/>
  <c r="W40" i="17"/>
  <c r="H145" i="17"/>
  <c r="J145" i="17"/>
  <c r="K145" i="17"/>
  <c r="L145" i="17"/>
  <c r="M145" i="17"/>
  <c r="N145" i="17"/>
  <c r="O145" i="17"/>
  <c r="F145" i="17"/>
  <c r="P144" i="17"/>
  <c r="E144" i="17"/>
  <c r="Z76" i="17"/>
  <c r="AB76" i="17" s="1"/>
  <c r="D74" i="17" l="1"/>
  <c r="E74" i="17"/>
  <c r="F74" i="17"/>
  <c r="G74" i="17"/>
  <c r="H74" i="17"/>
  <c r="I74" i="17"/>
  <c r="J74" i="17"/>
  <c r="K74" i="17"/>
  <c r="L74" i="17"/>
  <c r="M74" i="17"/>
  <c r="N74" i="17"/>
  <c r="P74" i="17"/>
  <c r="Q8" i="17"/>
  <c r="Q10" i="17"/>
  <c r="Q11" i="17"/>
  <c r="Q12" i="17"/>
  <c r="Q13" i="17"/>
  <c r="Q14" i="17"/>
  <c r="Q15" i="17"/>
  <c r="Q16" i="17"/>
  <c r="Q17" i="17"/>
  <c r="Q7" i="17"/>
  <c r="F41" i="17"/>
  <c r="G41" i="17"/>
  <c r="H41" i="17"/>
  <c r="I41" i="17"/>
  <c r="J41" i="17"/>
  <c r="K41" i="17"/>
  <c r="L41" i="17"/>
  <c r="M41" i="17"/>
  <c r="N41" i="17"/>
  <c r="P41" i="17"/>
  <c r="E41" i="17"/>
  <c r="D41" i="17"/>
  <c r="C41" i="17"/>
  <c r="Q40" i="17"/>
  <c r="R40" i="17" s="1"/>
  <c r="N78" i="17" l="1"/>
  <c r="Q110" i="17"/>
  <c r="P136" i="17"/>
  <c r="P129" i="17"/>
  <c r="P123" i="17"/>
  <c r="P118" i="17"/>
  <c r="P108" i="17"/>
  <c r="P100" i="17"/>
  <c r="P93" i="17"/>
  <c r="P90" i="17"/>
  <c r="P88" i="17"/>
  <c r="P85" i="17"/>
  <c r="P83" i="17"/>
  <c r="P80" i="17"/>
  <c r="P71" i="17"/>
  <c r="P60" i="17"/>
  <c r="P62" i="17"/>
  <c r="P64" i="17"/>
  <c r="P66" i="17"/>
  <c r="P68" i="17"/>
  <c r="P53" i="17"/>
  <c r="P50" i="17"/>
  <c r="P45" i="17"/>
  <c r="P43" i="17"/>
  <c r="Q135" i="17"/>
  <c r="Q134" i="17"/>
  <c r="Q133" i="17"/>
  <c r="Q132" i="17"/>
  <c r="Q128" i="17"/>
  <c r="Q127" i="17"/>
  <c r="Q126" i="17"/>
  <c r="Q122" i="17"/>
  <c r="Q121" i="17"/>
  <c r="Q116" i="17"/>
  <c r="Q115" i="17"/>
  <c r="Q114" i="17"/>
  <c r="Q113" i="17"/>
  <c r="Q112" i="17"/>
  <c r="R112" i="17" s="1"/>
  <c r="Q111" i="17"/>
  <c r="R111" i="17" s="1"/>
  <c r="Q106" i="17"/>
  <c r="Q105" i="17"/>
  <c r="Q104" i="17"/>
  <c r="Q103" i="17"/>
  <c r="Q99" i="17"/>
  <c r="Q98" i="17"/>
  <c r="Q97" i="17"/>
  <c r="Q91" i="17"/>
  <c r="Q89" i="17"/>
  <c r="Q84" i="17"/>
  <c r="Q82" i="17"/>
  <c r="Q81" i="17"/>
  <c r="Q79" i="17"/>
  <c r="Q72" i="17"/>
  <c r="Q69" i="17"/>
  <c r="Q67" i="17"/>
  <c r="Q65" i="17"/>
  <c r="Q63" i="17"/>
  <c r="Q61" i="17"/>
  <c r="Q59" i="17"/>
  <c r="Q57" i="17"/>
  <c r="Q52" i="17"/>
  <c r="Q51" i="17"/>
  <c r="Q48" i="17"/>
  <c r="Q47" i="17"/>
  <c r="Q46" i="17"/>
  <c r="Q44" i="17"/>
  <c r="Q42" i="17"/>
  <c r="Q38" i="17"/>
  <c r="P37" i="17"/>
  <c r="P32" i="17"/>
  <c r="Q36" i="17"/>
  <c r="Q31" i="17"/>
  <c r="Q28" i="17"/>
  <c r="P30" i="17"/>
  <c r="P27" i="17"/>
  <c r="Q23" i="17"/>
  <c r="Q24" i="17"/>
  <c r="Q25" i="17"/>
  <c r="Q26" i="17"/>
  <c r="P21" i="17"/>
  <c r="Q6" i="17"/>
  <c r="R16" i="17"/>
  <c r="Q5" i="17"/>
  <c r="D140" i="17"/>
  <c r="O86" i="17"/>
  <c r="Q86" i="17" s="1"/>
  <c r="E118" i="17"/>
  <c r="F118" i="17"/>
  <c r="G118" i="17"/>
  <c r="H118" i="17"/>
  <c r="I118" i="17"/>
  <c r="J118" i="17"/>
  <c r="K118" i="17"/>
  <c r="L118" i="17"/>
  <c r="M118" i="17"/>
  <c r="N118" i="17"/>
  <c r="D118" i="17"/>
  <c r="C27" i="17"/>
  <c r="C37" i="17"/>
  <c r="C43" i="17"/>
  <c r="C45" i="17"/>
  <c r="C50" i="17"/>
  <c r="D9" i="17"/>
  <c r="Q73" i="17" l="1"/>
  <c r="O74" i="17"/>
  <c r="P75" i="17"/>
  <c r="P54" i="17"/>
  <c r="P94" i="17"/>
  <c r="R72" i="17"/>
  <c r="R8" i="17"/>
  <c r="Q21" i="14"/>
  <c r="Q79" i="14"/>
  <c r="J140" i="17"/>
  <c r="V141" i="14"/>
  <c r="R139" i="14"/>
  <c r="I21" i="16"/>
  <c r="V136" i="17"/>
  <c r="U123" i="17"/>
  <c r="N80" i="17"/>
  <c r="E80" i="17"/>
  <c r="F80" i="17"/>
  <c r="G80" i="17"/>
  <c r="H80" i="17"/>
  <c r="I80" i="17"/>
  <c r="J80" i="17"/>
  <c r="K80" i="17"/>
  <c r="L80" i="17"/>
  <c r="M80" i="17"/>
  <c r="D80" i="17"/>
  <c r="C60" i="17"/>
  <c r="N60" i="17"/>
  <c r="M60" i="17"/>
  <c r="L60" i="17"/>
  <c r="K60" i="17"/>
  <c r="J60" i="17"/>
  <c r="I60" i="17"/>
  <c r="H60" i="17"/>
  <c r="G60" i="17"/>
  <c r="F60" i="17"/>
  <c r="E60" i="17"/>
  <c r="D60" i="17"/>
  <c r="P138" i="17" l="1"/>
  <c r="U59" i="17"/>
  <c r="R59" i="17"/>
  <c r="U79" i="17"/>
  <c r="R79" i="17"/>
  <c r="O78" i="17"/>
  <c r="J92" i="17"/>
  <c r="V123" i="17"/>
  <c r="C123" i="17"/>
  <c r="R134" i="17"/>
  <c r="R135" i="17"/>
  <c r="V50" i="17"/>
  <c r="R47" i="17"/>
  <c r="O80" i="17" l="1"/>
  <c r="Q80" i="17" s="1"/>
  <c r="Q78" i="17"/>
  <c r="H34" i="17"/>
  <c r="Q34" i="17" s="1"/>
  <c r="D37" i="17"/>
  <c r="K37" i="17"/>
  <c r="J37" i="17"/>
  <c r="I37" i="17"/>
  <c r="G37" i="17"/>
  <c r="F37" i="17"/>
  <c r="V41" i="17"/>
  <c r="C29" i="17"/>
  <c r="O29" i="17"/>
  <c r="Q29" i="17" s="1"/>
  <c r="C9" i="17"/>
  <c r="C20" i="17" s="1"/>
  <c r="J9" i="17"/>
  <c r="C5" i="17"/>
  <c r="N4" i="17"/>
  <c r="M4" i="17"/>
  <c r="L4" i="17"/>
  <c r="K4" i="17"/>
  <c r="J4" i="17"/>
  <c r="I4" i="17"/>
  <c r="I21" i="17" s="1"/>
  <c r="H4" i="17"/>
  <c r="H21" i="17" s="1"/>
  <c r="E21" i="17"/>
  <c r="C4" i="17"/>
  <c r="R4" i="17" s="1"/>
  <c r="C129" i="17"/>
  <c r="C118" i="17"/>
  <c r="C108" i="17"/>
  <c r="C100" i="17"/>
  <c r="V100" i="14"/>
  <c r="C85" i="17"/>
  <c r="C93" i="17"/>
  <c r="C90" i="17"/>
  <c r="C88" i="17"/>
  <c r="C83" i="17"/>
  <c r="C80" i="17"/>
  <c r="C74" i="17"/>
  <c r="C71" i="17"/>
  <c r="C68" i="17"/>
  <c r="C66" i="17"/>
  <c r="C64" i="17"/>
  <c r="C62" i="17"/>
  <c r="C53" i="17"/>
  <c r="C32" i="17"/>
  <c r="C171" i="17"/>
  <c r="F169" i="17"/>
  <c r="O136" i="17"/>
  <c r="M136" i="17"/>
  <c r="L136" i="17"/>
  <c r="K136" i="17"/>
  <c r="J136" i="17"/>
  <c r="I136" i="17"/>
  <c r="H136" i="17"/>
  <c r="G136" i="17"/>
  <c r="F136" i="17"/>
  <c r="E136" i="17"/>
  <c r="D136" i="17"/>
  <c r="R133" i="17"/>
  <c r="R132" i="17"/>
  <c r="V129" i="17"/>
  <c r="O129" i="17"/>
  <c r="N129" i="17"/>
  <c r="M129" i="17"/>
  <c r="L129" i="17"/>
  <c r="K129" i="17"/>
  <c r="J129" i="17"/>
  <c r="I129" i="17"/>
  <c r="H129" i="17"/>
  <c r="G129" i="17"/>
  <c r="F129" i="17"/>
  <c r="E129" i="17"/>
  <c r="D129" i="17"/>
  <c r="R128" i="17"/>
  <c r="R127" i="17"/>
  <c r="R126" i="17"/>
  <c r="O123" i="17"/>
  <c r="N123" i="17"/>
  <c r="M123" i="17"/>
  <c r="L123" i="17"/>
  <c r="K123" i="17"/>
  <c r="I123" i="17"/>
  <c r="H123" i="17"/>
  <c r="G123" i="17"/>
  <c r="F123" i="17"/>
  <c r="E123" i="17"/>
  <c r="D123" i="17"/>
  <c r="R122" i="17"/>
  <c r="O117" i="17"/>
  <c r="Q117" i="17" s="1"/>
  <c r="R116" i="17"/>
  <c r="R115" i="17"/>
  <c r="R114" i="17"/>
  <c r="R113" i="17"/>
  <c r="N108" i="17"/>
  <c r="M108" i="17"/>
  <c r="L108" i="17"/>
  <c r="K108" i="17"/>
  <c r="J108" i="17"/>
  <c r="I108" i="17"/>
  <c r="H108" i="17"/>
  <c r="G108" i="17"/>
  <c r="F108" i="17"/>
  <c r="E108" i="17"/>
  <c r="D108" i="17"/>
  <c r="O100" i="17"/>
  <c r="N100" i="17"/>
  <c r="M100" i="17"/>
  <c r="L100" i="17"/>
  <c r="K100" i="17"/>
  <c r="J100" i="17"/>
  <c r="I100" i="17"/>
  <c r="H100" i="17"/>
  <c r="G100" i="17"/>
  <c r="F100" i="17"/>
  <c r="E100" i="17"/>
  <c r="D100" i="17"/>
  <c r="R99" i="17"/>
  <c r="N93" i="17"/>
  <c r="M93" i="17"/>
  <c r="L93" i="17"/>
  <c r="K93" i="17"/>
  <c r="I93" i="17"/>
  <c r="H93" i="17"/>
  <c r="G93" i="17"/>
  <c r="F93" i="17"/>
  <c r="E93" i="17"/>
  <c r="D93" i="17"/>
  <c r="J93" i="17"/>
  <c r="O90" i="17"/>
  <c r="N90" i="17"/>
  <c r="M90" i="17"/>
  <c r="L90" i="17"/>
  <c r="K90" i="17"/>
  <c r="J90" i="17"/>
  <c r="I90" i="17"/>
  <c r="H90" i="17"/>
  <c r="G90" i="17"/>
  <c r="F90" i="17"/>
  <c r="E90" i="17"/>
  <c r="D90" i="17"/>
  <c r="N88" i="17"/>
  <c r="L88" i="17"/>
  <c r="F88" i="17"/>
  <c r="D88" i="17"/>
  <c r="G88" i="17"/>
  <c r="O85" i="17"/>
  <c r="N85" i="17"/>
  <c r="M85" i="17"/>
  <c r="L85" i="17"/>
  <c r="K85" i="17"/>
  <c r="J85" i="17"/>
  <c r="I85" i="17"/>
  <c r="H85" i="17"/>
  <c r="G85" i="17"/>
  <c r="F85" i="17"/>
  <c r="E85" i="17"/>
  <c r="D85" i="17"/>
  <c r="R84" i="17"/>
  <c r="O83" i="17"/>
  <c r="N83" i="17"/>
  <c r="M83" i="17"/>
  <c r="L83" i="17"/>
  <c r="K83" i="17"/>
  <c r="J83" i="17"/>
  <c r="I83" i="17"/>
  <c r="H83" i="17"/>
  <c r="G83" i="17"/>
  <c r="F83" i="17"/>
  <c r="E83" i="17"/>
  <c r="D83" i="17"/>
  <c r="N136" i="17"/>
  <c r="N71" i="17"/>
  <c r="M71" i="17"/>
  <c r="L71" i="17"/>
  <c r="K71" i="17"/>
  <c r="J71" i="17"/>
  <c r="I71" i="17"/>
  <c r="H71" i="17"/>
  <c r="G71" i="17"/>
  <c r="F71" i="17"/>
  <c r="E71" i="17"/>
  <c r="D71" i="17"/>
  <c r="R69" i="17"/>
  <c r="O68" i="17"/>
  <c r="N68" i="17"/>
  <c r="M68" i="17"/>
  <c r="L68" i="17"/>
  <c r="K68" i="17"/>
  <c r="J68" i="17"/>
  <c r="I68" i="17"/>
  <c r="H68" i="17"/>
  <c r="G68" i="17"/>
  <c r="F68" i="17"/>
  <c r="E68" i="17"/>
  <c r="D68" i="17"/>
  <c r="O66" i="17"/>
  <c r="N66" i="17"/>
  <c r="M66" i="17"/>
  <c r="L66" i="17"/>
  <c r="K66" i="17"/>
  <c r="J66" i="17"/>
  <c r="I66" i="17"/>
  <c r="H66" i="17"/>
  <c r="G66" i="17"/>
  <c r="F66" i="17"/>
  <c r="E66" i="17"/>
  <c r="D66" i="17"/>
  <c r="O64" i="17"/>
  <c r="N64" i="17"/>
  <c r="M64" i="17"/>
  <c r="L64" i="17"/>
  <c r="K64" i="17"/>
  <c r="J64" i="17"/>
  <c r="I64" i="17"/>
  <c r="H64" i="17"/>
  <c r="G64" i="17"/>
  <c r="F64" i="17"/>
  <c r="E64" i="17"/>
  <c r="D64" i="17"/>
  <c r="O62" i="17"/>
  <c r="N62" i="17"/>
  <c r="M62" i="17"/>
  <c r="L62" i="17"/>
  <c r="K62" i="17"/>
  <c r="J62" i="17"/>
  <c r="I62" i="17"/>
  <c r="H62" i="17"/>
  <c r="G62" i="17"/>
  <c r="F62" i="17"/>
  <c r="E62" i="17"/>
  <c r="D62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R52" i="17"/>
  <c r="R51" i="17"/>
  <c r="N50" i="17"/>
  <c r="M50" i="17"/>
  <c r="L50" i="17"/>
  <c r="K50" i="17"/>
  <c r="I50" i="17"/>
  <c r="H50" i="17"/>
  <c r="G50" i="17"/>
  <c r="F50" i="17"/>
  <c r="E50" i="17"/>
  <c r="D50" i="17"/>
  <c r="J50" i="17"/>
  <c r="R48" i="17"/>
  <c r="R46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R4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N30" i="17"/>
  <c r="M30" i="17"/>
  <c r="L30" i="17"/>
  <c r="K30" i="17"/>
  <c r="J30" i="17"/>
  <c r="I30" i="17"/>
  <c r="H30" i="17"/>
  <c r="G30" i="17"/>
  <c r="F30" i="17"/>
  <c r="E30" i="17"/>
  <c r="D30" i="17"/>
  <c r="O27" i="17"/>
  <c r="N27" i="17"/>
  <c r="M27" i="17"/>
  <c r="L27" i="17"/>
  <c r="K27" i="17"/>
  <c r="J27" i="17"/>
  <c r="I27" i="17"/>
  <c r="H27" i="17"/>
  <c r="G27" i="17"/>
  <c r="E27" i="17"/>
  <c r="D27" i="17"/>
  <c r="V105" i="14"/>
  <c r="Z52" i="14"/>
  <c r="P139" i="14"/>
  <c r="P141" i="14" s="1"/>
  <c r="Q141" i="14"/>
  <c r="Q128" i="14"/>
  <c r="Q134" i="14"/>
  <c r="P134" i="14"/>
  <c r="P128" i="14"/>
  <c r="P123" i="14"/>
  <c r="P114" i="14"/>
  <c r="P106" i="14"/>
  <c r="Q43" i="17" l="1"/>
  <c r="R43" i="17" s="1"/>
  <c r="Q136" i="17"/>
  <c r="R136" i="17" s="1"/>
  <c r="Q62" i="17"/>
  <c r="Q83" i="17"/>
  <c r="R83" i="17" s="1"/>
  <c r="Q100" i="17"/>
  <c r="R100" i="17" s="1"/>
  <c r="Q45" i="17"/>
  <c r="R45" i="17" s="1"/>
  <c r="Q53" i="17"/>
  <c r="Q68" i="17"/>
  <c r="R68" i="17" s="1"/>
  <c r="Q32" i="17"/>
  <c r="R32" i="17" s="1"/>
  <c r="Q129" i="17"/>
  <c r="R129" i="17" s="1"/>
  <c r="Q85" i="17"/>
  <c r="R85" i="17" s="1"/>
  <c r="Q66" i="17"/>
  <c r="R66" i="17" s="1"/>
  <c r="Q33" i="17"/>
  <c r="Q90" i="17"/>
  <c r="R90" i="17" s="1"/>
  <c r="F27" i="17"/>
  <c r="Q27" i="17" s="1"/>
  <c r="R27" i="17" s="1"/>
  <c r="Q22" i="17"/>
  <c r="Q64" i="17"/>
  <c r="R64" i="17" s="1"/>
  <c r="R80" i="17"/>
  <c r="H88" i="17"/>
  <c r="H94" i="17" s="1"/>
  <c r="J87" i="17"/>
  <c r="J88" i="17" s="1"/>
  <c r="J94" i="17" s="1"/>
  <c r="I88" i="17"/>
  <c r="I94" i="17" s="1"/>
  <c r="M88" i="17"/>
  <c r="M94" i="17" s="1"/>
  <c r="U6" i="17"/>
  <c r="R6" i="17"/>
  <c r="O39" i="17"/>
  <c r="O41" i="17" s="1"/>
  <c r="R38" i="17"/>
  <c r="U103" i="17"/>
  <c r="R103" i="17"/>
  <c r="U98" i="17"/>
  <c r="R98" i="17"/>
  <c r="U10" i="17"/>
  <c r="R10" i="17"/>
  <c r="U81" i="17"/>
  <c r="R81" i="17"/>
  <c r="U91" i="17"/>
  <c r="R91" i="17"/>
  <c r="U106" i="17"/>
  <c r="R106" i="17"/>
  <c r="U11" i="17"/>
  <c r="R11" i="17"/>
  <c r="U36" i="17"/>
  <c r="R36" i="17"/>
  <c r="U15" i="17"/>
  <c r="R15" i="17"/>
  <c r="U89" i="17"/>
  <c r="U90" i="17" s="1"/>
  <c r="R89" i="17"/>
  <c r="U14" i="17"/>
  <c r="R14" i="17"/>
  <c r="U13" i="17"/>
  <c r="R13" i="17"/>
  <c r="U57" i="17"/>
  <c r="R57" i="17"/>
  <c r="U97" i="17"/>
  <c r="R97" i="17"/>
  <c r="C30" i="17"/>
  <c r="U61" i="17"/>
  <c r="U62" i="17" s="1"/>
  <c r="R61" i="17"/>
  <c r="U104" i="17"/>
  <c r="R104" i="17"/>
  <c r="U31" i="17"/>
  <c r="U32" i="17" s="1"/>
  <c r="V32" i="17" s="1"/>
  <c r="R31" i="17"/>
  <c r="U78" i="17"/>
  <c r="U80" i="17" s="1"/>
  <c r="R78" i="17"/>
  <c r="U105" i="17"/>
  <c r="R105" i="17"/>
  <c r="U12" i="17"/>
  <c r="R12" i="17"/>
  <c r="R117" i="17"/>
  <c r="O118" i="17"/>
  <c r="Q118" i="17" s="1"/>
  <c r="U82" i="17"/>
  <c r="R82" i="17"/>
  <c r="U17" i="17"/>
  <c r="R17" i="17"/>
  <c r="U34" i="17"/>
  <c r="R34" i="17"/>
  <c r="U28" i="17"/>
  <c r="R28" i="17"/>
  <c r="U23" i="17"/>
  <c r="R23" i="17"/>
  <c r="U24" i="17"/>
  <c r="R24" i="17"/>
  <c r="U44" i="17"/>
  <c r="U45" i="17" s="1"/>
  <c r="V45" i="17" s="1"/>
  <c r="R44" i="17"/>
  <c r="U67" i="17"/>
  <c r="U68" i="17" s="1"/>
  <c r="R67" i="17"/>
  <c r="U7" i="17"/>
  <c r="R7" i="17"/>
  <c r="U25" i="17"/>
  <c r="R25" i="17"/>
  <c r="U65" i="17"/>
  <c r="U66" i="17" s="1"/>
  <c r="R65" i="17"/>
  <c r="U63" i="17"/>
  <c r="U64" i="17" s="1"/>
  <c r="R63" i="17"/>
  <c r="U26" i="17"/>
  <c r="R26" i="17"/>
  <c r="C21" i="17"/>
  <c r="K88" i="17"/>
  <c r="K94" i="17" s="1"/>
  <c r="R73" i="17"/>
  <c r="L75" i="17"/>
  <c r="F21" i="17"/>
  <c r="O4" i="17"/>
  <c r="N75" i="17"/>
  <c r="O70" i="17"/>
  <c r="Q70" i="17" s="1"/>
  <c r="U69" i="17"/>
  <c r="D75" i="17"/>
  <c r="E75" i="17"/>
  <c r="M75" i="17"/>
  <c r="F75" i="17"/>
  <c r="G75" i="17"/>
  <c r="H75" i="17"/>
  <c r="I75" i="17"/>
  <c r="J75" i="17"/>
  <c r="K75" i="17"/>
  <c r="C75" i="17"/>
  <c r="C94" i="17"/>
  <c r="O49" i="17"/>
  <c r="I54" i="17"/>
  <c r="E37" i="17"/>
  <c r="E54" i="17" s="1"/>
  <c r="L33" i="17"/>
  <c r="M37" i="17" s="1"/>
  <c r="H37" i="17"/>
  <c r="H54" i="17" s="1"/>
  <c r="N37" i="17"/>
  <c r="R19" i="17"/>
  <c r="G21" i="17"/>
  <c r="G54" i="17" s="1"/>
  <c r="D21" i="17"/>
  <c r="K9" i="17"/>
  <c r="L9" i="17" s="1"/>
  <c r="M9" i="17" s="1"/>
  <c r="N9" i="17" s="1"/>
  <c r="O9" i="17" s="1"/>
  <c r="J21" i="17"/>
  <c r="J54" i="17" s="1"/>
  <c r="F94" i="17"/>
  <c r="E88" i="17"/>
  <c r="E94" i="17" s="1"/>
  <c r="O58" i="17"/>
  <c r="Q58" i="17" s="1"/>
  <c r="D94" i="17"/>
  <c r="R5" i="17"/>
  <c r="U4" i="17"/>
  <c r="G94" i="17"/>
  <c r="O107" i="17"/>
  <c r="R62" i="17"/>
  <c r="L94" i="17"/>
  <c r="N94" i="17"/>
  <c r="R53" i="17"/>
  <c r="O92" i="17"/>
  <c r="O30" i="17"/>
  <c r="Q30" i="17" s="1"/>
  <c r="U29" i="17"/>
  <c r="R25" i="14"/>
  <c r="V134" i="14"/>
  <c r="Q9" i="17" l="1"/>
  <c r="Q41" i="17"/>
  <c r="R41" i="17" s="1"/>
  <c r="Q39" i="17"/>
  <c r="D54" i="17"/>
  <c r="D138" i="17" s="1"/>
  <c r="D141" i="17" s="1"/>
  <c r="D147" i="17" s="1"/>
  <c r="F54" i="17"/>
  <c r="F138" i="17" s="1"/>
  <c r="Q107" i="17"/>
  <c r="R107" i="17" s="1"/>
  <c r="O93" i="17"/>
  <c r="Q93" i="17" s="1"/>
  <c r="Q92" i="17"/>
  <c r="O50" i="17"/>
  <c r="Q49" i="17"/>
  <c r="R49" i="17" s="1"/>
  <c r="U83" i="17"/>
  <c r="C54" i="17"/>
  <c r="C138" i="17" s="1"/>
  <c r="F157" i="17" s="1"/>
  <c r="D171" i="17" s="1"/>
  <c r="E171" i="17" s="1"/>
  <c r="R39" i="17"/>
  <c r="R93" i="17"/>
  <c r="R30" i="17"/>
  <c r="U70" i="17"/>
  <c r="U71" i="17" s="1"/>
  <c r="R70" i="17"/>
  <c r="U22" i="17"/>
  <c r="U27" i="17" s="1"/>
  <c r="V27" i="17" s="1"/>
  <c r="R22" i="17"/>
  <c r="U30" i="17"/>
  <c r="V30" i="17" s="1"/>
  <c r="R29" i="17"/>
  <c r="U100" i="17"/>
  <c r="V100" i="17" s="1"/>
  <c r="O87" i="17"/>
  <c r="H138" i="17"/>
  <c r="U5" i="17"/>
  <c r="I138" i="17"/>
  <c r="O71" i="17"/>
  <c r="G138" i="17"/>
  <c r="O60" i="17"/>
  <c r="L21" i="17"/>
  <c r="Q74" i="17"/>
  <c r="L37" i="17"/>
  <c r="R33" i="17"/>
  <c r="J123" i="17"/>
  <c r="Q123" i="17" s="1"/>
  <c r="O20" i="17"/>
  <c r="Q20" i="17" s="1"/>
  <c r="E138" i="17"/>
  <c r="N21" i="17"/>
  <c r="N54" i="17" s="1"/>
  <c r="K21" i="17"/>
  <c r="K54" i="17" s="1"/>
  <c r="M21" i="17"/>
  <c r="M54" i="17" s="1"/>
  <c r="O108" i="17"/>
  <c r="R112" i="14"/>
  <c r="R53" i="14"/>
  <c r="U107" i="17" l="1"/>
  <c r="U108" i="17" s="1"/>
  <c r="V108" i="17" s="1"/>
  <c r="Q108" i="17"/>
  <c r="R108" i="17" s="1"/>
  <c r="O88" i="17"/>
  <c r="Q87" i="17"/>
  <c r="Q50" i="17"/>
  <c r="R50" i="17" s="1"/>
  <c r="Q71" i="17"/>
  <c r="R71" i="17" s="1"/>
  <c r="Q60" i="17"/>
  <c r="R60" i="17" s="1"/>
  <c r="U92" i="17"/>
  <c r="U93" i="17" s="1"/>
  <c r="R92" i="17"/>
  <c r="U58" i="17"/>
  <c r="U60" i="17" s="1"/>
  <c r="U75" i="17" s="1"/>
  <c r="V75" i="17" s="1"/>
  <c r="R58" i="17"/>
  <c r="U9" i="17"/>
  <c r="R9" i="17"/>
  <c r="U86" i="17"/>
  <c r="R86" i="17"/>
  <c r="U20" i="17"/>
  <c r="R20" i="17"/>
  <c r="L54" i="17"/>
  <c r="L138" i="17" s="1"/>
  <c r="O75" i="17"/>
  <c r="O35" i="17"/>
  <c r="O37" i="17" s="1"/>
  <c r="Q37" i="17" s="1"/>
  <c r="R37" i="17" s="1"/>
  <c r="U33" i="17"/>
  <c r="R121" i="17"/>
  <c r="O21" i="17"/>
  <c r="Q21" i="17" s="1"/>
  <c r="K138" i="17"/>
  <c r="R74" i="17"/>
  <c r="R123" i="17"/>
  <c r="J138" i="17"/>
  <c r="O141" i="14"/>
  <c r="O134" i="14"/>
  <c r="O128" i="14"/>
  <c r="O123" i="14"/>
  <c r="O114" i="14"/>
  <c r="O106" i="14"/>
  <c r="O79" i="14"/>
  <c r="O81" i="14" s="1"/>
  <c r="F44" i="14"/>
  <c r="G44" i="14"/>
  <c r="H44" i="14"/>
  <c r="I44" i="14"/>
  <c r="J44" i="14"/>
  <c r="K44" i="14"/>
  <c r="L44" i="14"/>
  <c r="M44" i="14"/>
  <c r="N44" i="14"/>
  <c r="O44" i="14"/>
  <c r="P44" i="14"/>
  <c r="R54" i="14"/>
  <c r="R118" i="17" l="1"/>
  <c r="Q75" i="17"/>
  <c r="R75" i="17" s="1"/>
  <c r="O94" i="17"/>
  <c r="Q94" i="17" s="1"/>
  <c r="R94" i="17" s="1"/>
  <c r="Q88" i="17"/>
  <c r="U21" i="17"/>
  <c r="V21" i="17" s="1"/>
  <c r="U87" i="17"/>
  <c r="U88" i="17" s="1"/>
  <c r="U94" i="17" s="1"/>
  <c r="V94" i="17" s="1"/>
  <c r="R87" i="17"/>
  <c r="R88" i="17"/>
  <c r="U118" i="17"/>
  <c r="V118" i="17" s="1"/>
  <c r="O54" i="17"/>
  <c r="Q54" i="17" s="1"/>
  <c r="Q35" i="17"/>
  <c r="M138" i="17"/>
  <c r="R52" i="14"/>
  <c r="Q123" i="14"/>
  <c r="G152" i="14"/>
  <c r="H152" i="14"/>
  <c r="I152" i="14"/>
  <c r="J152" i="14"/>
  <c r="K152" i="14"/>
  <c r="L152" i="14"/>
  <c r="M152" i="14"/>
  <c r="F152" i="14"/>
  <c r="M149" i="14"/>
  <c r="L149" i="14"/>
  <c r="R151" i="14"/>
  <c r="S151" i="14" s="1"/>
  <c r="U36" i="14"/>
  <c r="U35" i="17" l="1"/>
  <c r="U37" i="17" s="1"/>
  <c r="V37" i="17" s="1"/>
  <c r="R35" i="17"/>
  <c r="N138" i="17"/>
  <c r="O138" i="17"/>
  <c r="R104" i="14"/>
  <c r="R15" i="14"/>
  <c r="O67" i="14"/>
  <c r="N141" i="14"/>
  <c r="N134" i="14"/>
  <c r="N128" i="14"/>
  <c r="N106" i="14"/>
  <c r="N114" i="14"/>
  <c r="N123" i="14"/>
  <c r="L98" i="14"/>
  <c r="L80" i="14"/>
  <c r="L64" i="14"/>
  <c r="L55" i="14"/>
  <c r="L40" i="14"/>
  <c r="L35" i="14"/>
  <c r="L21" i="14"/>
  <c r="L17" i="14"/>
  <c r="Q138" i="17" l="1"/>
  <c r="R54" i="17"/>
  <c r="R21" i="17"/>
  <c r="U54" i="17"/>
  <c r="U138" i="17" s="1"/>
  <c r="E141" i="14"/>
  <c r="E148" i="14"/>
  <c r="E147" i="14"/>
  <c r="N34" i="14"/>
  <c r="N36" i="14" s="1"/>
  <c r="F149" i="14"/>
  <c r="F189" i="14"/>
  <c r="L65" i="14"/>
  <c r="M31" i="14"/>
  <c r="L31" i="14"/>
  <c r="K31" i="14"/>
  <c r="J31" i="14"/>
  <c r="I31" i="14"/>
  <c r="H31" i="14"/>
  <c r="G31" i="14"/>
  <c r="F31" i="14"/>
  <c r="O31" i="14"/>
  <c r="P31" i="14"/>
  <c r="N31" i="14"/>
  <c r="U31" i="14"/>
  <c r="U22" i="14"/>
  <c r="C178" i="14"/>
  <c r="O176" i="14"/>
  <c r="K149" i="14"/>
  <c r="J149" i="14"/>
  <c r="I149" i="14"/>
  <c r="H149" i="14"/>
  <c r="G149" i="14"/>
  <c r="M141" i="14"/>
  <c r="L141" i="14"/>
  <c r="K141" i="14"/>
  <c r="J141" i="14"/>
  <c r="I141" i="14"/>
  <c r="H141" i="14"/>
  <c r="G141" i="14"/>
  <c r="F141" i="14"/>
  <c r="R140" i="14"/>
  <c r="R138" i="14"/>
  <c r="R137" i="14"/>
  <c r="U134" i="14"/>
  <c r="M134" i="14"/>
  <c r="L134" i="14"/>
  <c r="K134" i="14"/>
  <c r="J134" i="14"/>
  <c r="I134" i="14"/>
  <c r="H134" i="14"/>
  <c r="G134" i="14"/>
  <c r="F134" i="14"/>
  <c r="D134" i="14"/>
  <c r="C134" i="14"/>
  <c r="R133" i="14"/>
  <c r="R132" i="14"/>
  <c r="R131" i="14"/>
  <c r="M128" i="14"/>
  <c r="K128" i="14"/>
  <c r="J128" i="14"/>
  <c r="I128" i="14"/>
  <c r="H128" i="14"/>
  <c r="G128" i="14"/>
  <c r="F128" i="14"/>
  <c r="D128" i="14"/>
  <c r="C128" i="14"/>
  <c r="R127" i="14"/>
  <c r="M123" i="14"/>
  <c r="L123" i="14"/>
  <c r="K123" i="14"/>
  <c r="J123" i="14"/>
  <c r="I123" i="14"/>
  <c r="H123" i="14"/>
  <c r="G123" i="14"/>
  <c r="F123" i="14"/>
  <c r="D123" i="14"/>
  <c r="C123" i="14"/>
  <c r="R122" i="14"/>
  <c r="R121" i="14"/>
  <c r="R120" i="14"/>
  <c r="R119" i="14"/>
  <c r="R118" i="14"/>
  <c r="R117" i="14"/>
  <c r="U114" i="14"/>
  <c r="M114" i="14"/>
  <c r="L114" i="14"/>
  <c r="K114" i="14"/>
  <c r="J114" i="14"/>
  <c r="I114" i="14"/>
  <c r="H114" i="14"/>
  <c r="G114" i="14"/>
  <c r="F114" i="14"/>
  <c r="D114" i="14"/>
  <c r="C114" i="14"/>
  <c r="R111" i="14"/>
  <c r="R110" i="14"/>
  <c r="R109" i="14"/>
  <c r="Q113" i="14" s="1"/>
  <c r="Q106" i="14"/>
  <c r="M106" i="14"/>
  <c r="L106" i="14"/>
  <c r="K106" i="14"/>
  <c r="J106" i="14"/>
  <c r="I106" i="14"/>
  <c r="H106" i="14"/>
  <c r="G106" i="14"/>
  <c r="F106" i="14"/>
  <c r="D106" i="14"/>
  <c r="E106" i="14" s="1"/>
  <c r="R105" i="14"/>
  <c r="V106" i="14" s="1"/>
  <c r="R103" i="14"/>
  <c r="P99" i="14"/>
  <c r="O99" i="14"/>
  <c r="N99" i="14"/>
  <c r="M99" i="14"/>
  <c r="K99" i="14"/>
  <c r="J99" i="14"/>
  <c r="I99" i="14"/>
  <c r="H99" i="14"/>
  <c r="G99" i="14"/>
  <c r="F99" i="14"/>
  <c r="D99" i="14"/>
  <c r="C99" i="14"/>
  <c r="R97" i="14"/>
  <c r="Q98" i="14" s="1"/>
  <c r="Q96" i="14"/>
  <c r="P96" i="14"/>
  <c r="O96" i="14"/>
  <c r="N96" i="14"/>
  <c r="M96" i="14"/>
  <c r="L96" i="14"/>
  <c r="K96" i="14"/>
  <c r="J96" i="14"/>
  <c r="I96" i="14"/>
  <c r="H96" i="14"/>
  <c r="G96" i="14"/>
  <c r="F96" i="14"/>
  <c r="D96" i="14"/>
  <c r="C96" i="14"/>
  <c r="R95" i="14"/>
  <c r="P94" i="14"/>
  <c r="O94" i="14"/>
  <c r="N94" i="14"/>
  <c r="M94" i="14"/>
  <c r="K94" i="14"/>
  <c r="J94" i="14"/>
  <c r="H94" i="14"/>
  <c r="F94" i="14"/>
  <c r="D94" i="14"/>
  <c r="C94" i="14"/>
  <c r="I92" i="14"/>
  <c r="I94" i="14" s="1"/>
  <c r="G92" i="14"/>
  <c r="Q91" i="14"/>
  <c r="P91" i="14"/>
  <c r="O91" i="14"/>
  <c r="N91" i="14"/>
  <c r="M91" i="14"/>
  <c r="L91" i="14"/>
  <c r="K91" i="14"/>
  <c r="J91" i="14"/>
  <c r="I91" i="14"/>
  <c r="H91" i="14"/>
  <c r="G91" i="14"/>
  <c r="F91" i="14"/>
  <c r="R90" i="14"/>
  <c r="Q89" i="14"/>
  <c r="P89" i="14"/>
  <c r="O89" i="14"/>
  <c r="N89" i="14"/>
  <c r="M89" i="14"/>
  <c r="L89" i="14"/>
  <c r="K89" i="14"/>
  <c r="J89" i="14"/>
  <c r="I89" i="14"/>
  <c r="H89" i="14"/>
  <c r="G89" i="14"/>
  <c r="F89" i="14"/>
  <c r="D89" i="14"/>
  <c r="C89" i="14"/>
  <c r="R88" i="14"/>
  <c r="R87" i="14"/>
  <c r="Q86" i="14"/>
  <c r="P86" i="14"/>
  <c r="O86" i="14"/>
  <c r="N86" i="14"/>
  <c r="M86" i="14"/>
  <c r="L86" i="14"/>
  <c r="K86" i="14"/>
  <c r="J86" i="14"/>
  <c r="I86" i="14"/>
  <c r="H86" i="14"/>
  <c r="G86" i="14"/>
  <c r="F86" i="14"/>
  <c r="D86" i="14"/>
  <c r="C86" i="14"/>
  <c r="R85" i="14"/>
  <c r="N81" i="14"/>
  <c r="K81" i="14"/>
  <c r="J81" i="14"/>
  <c r="I81" i="14"/>
  <c r="H81" i="14"/>
  <c r="G81" i="14"/>
  <c r="F81" i="14"/>
  <c r="D81" i="14"/>
  <c r="C81" i="14"/>
  <c r="L81" i="14"/>
  <c r="R79" i="14"/>
  <c r="Q80" i="14" s="1"/>
  <c r="P78" i="14"/>
  <c r="O78" i="14"/>
  <c r="N78" i="14"/>
  <c r="M78" i="14"/>
  <c r="K78" i="14"/>
  <c r="J78" i="14"/>
  <c r="I78" i="14"/>
  <c r="H78" i="14"/>
  <c r="G78" i="14"/>
  <c r="F78" i="14"/>
  <c r="D78" i="14"/>
  <c r="C78" i="14"/>
  <c r="L78" i="14"/>
  <c r="R76" i="14"/>
  <c r="Q77" i="14" s="1"/>
  <c r="Q75" i="14"/>
  <c r="P75" i="14"/>
  <c r="O75" i="14"/>
  <c r="N75" i="14"/>
  <c r="M75" i="14"/>
  <c r="L75" i="14"/>
  <c r="K75" i="14"/>
  <c r="J75" i="14"/>
  <c r="I75" i="14"/>
  <c r="H75" i="14"/>
  <c r="G75" i="14"/>
  <c r="F75" i="14"/>
  <c r="D75" i="14"/>
  <c r="C75" i="14"/>
  <c r="R74" i="14"/>
  <c r="Q73" i="14"/>
  <c r="P73" i="14"/>
  <c r="O73" i="14"/>
  <c r="N73" i="14"/>
  <c r="M73" i="14"/>
  <c r="L73" i="14"/>
  <c r="K73" i="14"/>
  <c r="J73" i="14"/>
  <c r="I73" i="14"/>
  <c r="H73" i="14"/>
  <c r="G73" i="14"/>
  <c r="F73" i="14"/>
  <c r="D73" i="14"/>
  <c r="C73" i="14"/>
  <c r="R72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D71" i="14"/>
  <c r="C71" i="14"/>
  <c r="R70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D69" i="14"/>
  <c r="C69" i="14"/>
  <c r="R68" i="14"/>
  <c r="Q67" i="14"/>
  <c r="P67" i="14"/>
  <c r="N67" i="14"/>
  <c r="M67" i="14"/>
  <c r="L67" i="14"/>
  <c r="K67" i="14"/>
  <c r="J67" i="14"/>
  <c r="I67" i="14"/>
  <c r="H67" i="14"/>
  <c r="G67" i="14"/>
  <c r="F67" i="14"/>
  <c r="D67" i="14"/>
  <c r="C67" i="14"/>
  <c r="R66" i="14"/>
  <c r="P65" i="14"/>
  <c r="O65" i="14"/>
  <c r="N65" i="14"/>
  <c r="M65" i="14"/>
  <c r="K65" i="14"/>
  <c r="J65" i="14"/>
  <c r="I65" i="14"/>
  <c r="H65" i="14"/>
  <c r="G65" i="14"/>
  <c r="F65" i="14"/>
  <c r="D65" i="14"/>
  <c r="C65" i="14"/>
  <c r="R63" i="14"/>
  <c r="Q64" i="14" s="1"/>
  <c r="Q59" i="14"/>
  <c r="P59" i="14"/>
  <c r="O59" i="14"/>
  <c r="N59" i="14"/>
  <c r="M59" i="14"/>
  <c r="L59" i="14"/>
  <c r="K59" i="14"/>
  <c r="J59" i="14"/>
  <c r="I59" i="14"/>
  <c r="H59" i="14"/>
  <c r="G59" i="14"/>
  <c r="F59" i="14"/>
  <c r="D59" i="14"/>
  <c r="C59" i="14"/>
  <c r="R58" i="14"/>
  <c r="R57" i="14"/>
  <c r="P56" i="14"/>
  <c r="O56" i="14"/>
  <c r="N56" i="14"/>
  <c r="M56" i="14"/>
  <c r="K56" i="14"/>
  <c r="J56" i="14"/>
  <c r="I56" i="14"/>
  <c r="H56" i="14"/>
  <c r="G56" i="14"/>
  <c r="F56" i="14"/>
  <c r="D56" i="14"/>
  <c r="C56" i="14"/>
  <c r="R51" i="14"/>
  <c r="R50" i="14"/>
  <c r="R49" i="14"/>
  <c r="U48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D48" i="14"/>
  <c r="C48" i="14"/>
  <c r="R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D46" i="14"/>
  <c r="C46" i="14"/>
  <c r="R45" i="14"/>
  <c r="D44" i="14"/>
  <c r="E44" i="14" s="1"/>
  <c r="R42" i="14"/>
  <c r="Q43" i="14" s="1"/>
  <c r="P41" i="14"/>
  <c r="O41" i="14"/>
  <c r="N41" i="14"/>
  <c r="M41" i="14"/>
  <c r="K41" i="14"/>
  <c r="J41" i="14"/>
  <c r="I41" i="14"/>
  <c r="H41" i="14"/>
  <c r="G41" i="14"/>
  <c r="F41" i="14"/>
  <c r="D41" i="14"/>
  <c r="C41" i="14"/>
  <c r="L41" i="14"/>
  <c r="R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D38" i="14"/>
  <c r="C38" i="14"/>
  <c r="R37" i="14"/>
  <c r="P36" i="14"/>
  <c r="O36" i="14"/>
  <c r="M36" i="14"/>
  <c r="L36" i="14"/>
  <c r="K36" i="14"/>
  <c r="J36" i="14"/>
  <c r="I36" i="14"/>
  <c r="H36" i="14"/>
  <c r="G36" i="14"/>
  <c r="F36" i="14"/>
  <c r="D36" i="14"/>
  <c r="C36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D33" i="14"/>
  <c r="C33" i="14"/>
  <c r="R32" i="14"/>
  <c r="D31" i="14"/>
  <c r="C31" i="14"/>
  <c r="R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D28" i="14"/>
  <c r="C28" i="14"/>
  <c r="R27" i="14"/>
  <c r="R26" i="14"/>
  <c r="R24" i="14"/>
  <c r="R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D22" i="14"/>
  <c r="C22" i="14"/>
  <c r="R20" i="14"/>
  <c r="R19" i="14"/>
  <c r="P18" i="14"/>
  <c r="O18" i="14"/>
  <c r="N18" i="14"/>
  <c r="M18" i="14"/>
  <c r="K18" i="14"/>
  <c r="J18" i="14"/>
  <c r="I18" i="14"/>
  <c r="H18" i="14"/>
  <c r="G18" i="14"/>
  <c r="F18" i="14"/>
  <c r="D18" i="14"/>
  <c r="C18" i="14"/>
  <c r="R16" i="14"/>
  <c r="R14" i="14"/>
  <c r="R13" i="14"/>
  <c r="Q12" i="14"/>
  <c r="P12" i="14"/>
  <c r="O12" i="14"/>
  <c r="N12" i="14"/>
  <c r="M12" i="14"/>
  <c r="L12" i="14"/>
  <c r="K12" i="14"/>
  <c r="J12" i="14"/>
  <c r="H12" i="14"/>
  <c r="G12" i="14"/>
  <c r="F12" i="14"/>
  <c r="D12" i="14"/>
  <c r="C12" i="14"/>
  <c r="I11" i="14"/>
  <c r="R11" i="14" s="1"/>
  <c r="R10" i="14"/>
  <c r="R9" i="14"/>
  <c r="R8" i="14"/>
  <c r="Q7" i="14"/>
  <c r="P7" i="14"/>
  <c r="O7" i="14"/>
  <c r="N7" i="14"/>
  <c r="M7" i="14"/>
  <c r="L7" i="14"/>
  <c r="K7" i="14"/>
  <c r="J7" i="14"/>
  <c r="I7" i="14"/>
  <c r="H7" i="14"/>
  <c r="G7" i="14"/>
  <c r="F7" i="14"/>
  <c r="D7" i="14"/>
  <c r="C7" i="14"/>
  <c r="L5" i="14"/>
  <c r="M5" i="14" s="1"/>
  <c r="N5" i="14" s="1"/>
  <c r="I5" i="14"/>
  <c r="H5" i="14"/>
  <c r="G5" i="14"/>
  <c r="F5" i="14"/>
  <c r="D5" i="14"/>
  <c r="C5" i="14"/>
  <c r="N4" i="14"/>
  <c r="O4" i="14" s="1"/>
  <c r="K4" i="14"/>
  <c r="K5" i="14" s="1"/>
  <c r="O137" i="12"/>
  <c r="P137" i="12" s="1"/>
  <c r="N137" i="12"/>
  <c r="M137" i="12"/>
  <c r="R10" i="12"/>
  <c r="L37" i="12"/>
  <c r="R123" i="12"/>
  <c r="V138" i="17" l="1"/>
  <c r="V54" i="17"/>
  <c r="R138" i="17"/>
  <c r="P100" i="14"/>
  <c r="R43" i="14"/>
  <c r="Q44" i="14"/>
  <c r="R44" i="14" s="1"/>
  <c r="S44" i="14" s="1"/>
  <c r="O100" i="14"/>
  <c r="Q55" i="14"/>
  <c r="Q56" i="14" s="1"/>
  <c r="R34" i="14"/>
  <c r="Q35" i="14" s="1"/>
  <c r="Q36" i="14" s="1"/>
  <c r="R36" i="14" s="1"/>
  <c r="E81" i="14"/>
  <c r="U106" i="14"/>
  <c r="E96" i="14"/>
  <c r="N100" i="14"/>
  <c r="E128" i="14"/>
  <c r="Q17" i="14"/>
  <c r="Q18" i="14" s="1"/>
  <c r="R92" i="14"/>
  <c r="L93" i="14"/>
  <c r="Q40" i="14"/>
  <c r="R40" i="14" s="1"/>
  <c r="R113" i="14"/>
  <c r="E86" i="14"/>
  <c r="Q99" i="14"/>
  <c r="F82" i="14"/>
  <c r="E134" i="14"/>
  <c r="E75" i="14"/>
  <c r="G82" i="14"/>
  <c r="R28" i="14"/>
  <c r="U28" i="14" s="1"/>
  <c r="V28" i="14" s="1"/>
  <c r="E73" i="14"/>
  <c r="I82" i="14"/>
  <c r="J82" i="14"/>
  <c r="E22" i="14"/>
  <c r="R7" i="14"/>
  <c r="V7" i="14" s="1"/>
  <c r="Q30" i="14"/>
  <c r="R30" i="14" s="1"/>
  <c r="R141" i="14"/>
  <c r="S141" i="14" s="1"/>
  <c r="R21" i="14"/>
  <c r="Q78" i="14"/>
  <c r="R78" i="14" s="1"/>
  <c r="Q65" i="14"/>
  <c r="R65" i="14" s="1"/>
  <c r="V65" i="14" s="1"/>
  <c r="G60" i="14"/>
  <c r="F60" i="14"/>
  <c r="R67" i="14"/>
  <c r="V67" i="14" s="1"/>
  <c r="R33" i="14"/>
  <c r="V33" i="14" s="1"/>
  <c r="M60" i="14"/>
  <c r="E71" i="14"/>
  <c r="E78" i="14"/>
  <c r="R98" i="14"/>
  <c r="E48" i="14"/>
  <c r="C82" i="14"/>
  <c r="E69" i="14"/>
  <c r="R73" i="14"/>
  <c r="V73" i="14" s="1"/>
  <c r="R75" i="14"/>
  <c r="V75" i="14" s="1"/>
  <c r="E114" i="14"/>
  <c r="E46" i="14"/>
  <c r="R48" i="14"/>
  <c r="E59" i="14"/>
  <c r="R64" i="14"/>
  <c r="E67" i="14"/>
  <c r="C100" i="14"/>
  <c r="E7" i="14"/>
  <c r="H82" i="14"/>
  <c r="R96" i="14"/>
  <c r="V96" i="14" s="1"/>
  <c r="E99" i="14"/>
  <c r="R46" i="14"/>
  <c r="V46" i="14" s="1"/>
  <c r="E56" i="14"/>
  <c r="E65" i="14"/>
  <c r="E12" i="14"/>
  <c r="E123" i="14"/>
  <c r="R134" i="14"/>
  <c r="E38" i="14"/>
  <c r="E41" i="14"/>
  <c r="K82" i="14"/>
  <c r="H100" i="14"/>
  <c r="E18" i="14"/>
  <c r="R38" i="14"/>
  <c r="V38" i="14" s="1"/>
  <c r="J60" i="14"/>
  <c r="E94" i="14"/>
  <c r="I100" i="14"/>
  <c r="H60" i="14"/>
  <c r="R22" i="14"/>
  <c r="E33" i="14"/>
  <c r="E36" i="14"/>
  <c r="M82" i="14"/>
  <c r="R91" i="14"/>
  <c r="S91" i="14" s="1"/>
  <c r="J100" i="14"/>
  <c r="R106" i="14"/>
  <c r="S106" i="14" s="1"/>
  <c r="E28" i="14"/>
  <c r="R59" i="14"/>
  <c r="V59" i="14" s="1"/>
  <c r="N82" i="14"/>
  <c r="O82" i="14"/>
  <c r="C60" i="14"/>
  <c r="R69" i="14"/>
  <c r="V69" i="14" s="1"/>
  <c r="P82" i="14"/>
  <c r="E89" i="14"/>
  <c r="M100" i="14"/>
  <c r="I12" i="14"/>
  <c r="I60" i="14" s="1"/>
  <c r="E31" i="14"/>
  <c r="K100" i="14"/>
  <c r="D60" i="14"/>
  <c r="Q81" i="14"/>
  <c r="R86" i="14"/>
  <c r="R89" i="14"/>
  <c r="K60" i="14"/>
  <c r="L82" i="14"/>
  <c r="O5" i="14"/>
  <c r="P5" i="14" s="1"/>
  <c r="Q5" i="14" s="1"/>
  <c r="N60" i="14"/>
  <c r="F100" i="14"/>
  <c r="E5" i="14"/>
  <c r="G94" i="14"/>
  <c r="R77" i="14"/>
  <c r="D100" i="14"/>
  <c r="R71" i="14"/>
  <c r="V71" i="14" s="1"/>
  <c r="D82" i="14"/>
  <c r="L99" i="14"/>
  <c r="Q4" i="14"/>
  <c r="L18" i="14"/>
  <c r="L56" i="14"/>
  <c r="C161" i="12"/>
  <c r="L159" i="12"/>
  <c r="L139" i="12"/>
  <c r="K139" i="12"/>
  <c r="J139" i="12"/>
  <c r="I139" i="12"/>
  <c r="H139" i="12"/>
  <c r="G139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E131" i="12"/>
  <c r="R130" i="12"/>
  <c r="R129" i="12"/>
  <c r="R128" i="12"/>
  <c r="U125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D125" i="12"/>
  <c r="C125" i="12"/>
  <c r="R124" i="12"/>
  <c r="R122" i="12"/>
  <c r="Q119" i="12"/>
  <c r="P119" i="12"/>
  <c r="O119" i="12"/>
  <c r="N119" i="12"/>
  <c r="M119" i="12"/>
  <c r="K119" i="12"/>
  <c r="J119" i="12"/>
  <c r="I119" i="12"/>
  <c r="H119" i="12"/>
  <c r="G119" i="12"/>
  <c r="F119" i="12"/>
  <c r="D119" i="12"/>
  <c r="C119" i="12"/>
  <c r="R118" i="12"/>
  <c r="P114" i="12"/>
  <c r="O114" i="12"/>
  <c r="N114" i="12"/>
  <c r="M114" i="12"/>
  <c r="L114" i="12"/>
  <c r="K114" i="12"/>
  <c r="J114" i="12"/>
  <c r="I114" i="12"/>
  <c r="H114" i="12"/>
  <c r="G114" i="12"/>
  <c r="F114" i="12"/>
  <c r="D114" i="12"/>
  <c r="C114" i="12"/>
  <c r="Q113" i="12"/>
  <c r="Q114" i="12" s="1"/>
  <c r="R112" i="12"/>
  <c r="R111" i="12"/>
  <c r="R110" i="12"/>
  <c r="R109" i="12"/>
  <c r="R108" i="12"/>
  <c r="U105" i="12"/>
  <c r="P105" i="12"/>
  <c r="O105" i="12"/>
  <c r="N105" i="12"/>
  <c r="M105" i="12"/>
  <c r="L105" i="12"/>
  <c r="K105" i="12"/>
  <c r="J105" i="12"/>
  <c r="I105" i="12"/>
  <c r="H105" i="12"/>
  <c r="G105" i="12"/>
  <c r="F105" i="12"/>
  <c r="D105" i="12"/>
  <c r="C105" i="12"/>
  <c r="R103" i="12"/>
  <c r="R102" i="12"/>
  <c r="R101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D98" i="12"/>
  <c r="E98" i="12" s="1"/>
  <c r="R97" i="12"/>
  <c r="U97" i="12" s="1"/>
  <c r="U98" i="12" s="1"/>
  <c r="R96" i="12"/>
  <c r="P92" i="12"/>
  <c r="O92" i="12"/>
  <c r="O93" i="12" s="1"/>
  <c r="N92" i="12"/>
  <c r="M92" i="12"/>
  <c r="K92" i="12"/>
  <c r="J92" i="12"/>
  <c r="I92" i="12"/>
  <c r="H92" i="12"/>
  <c r="G92" i="12"/>
  <c r="F92" i="12"/>
  <c r="D92" i="12"/>
  <c r="C92" i="12"/>
  <c r="L91" i="12"/>
  <c r="L92" i="12" s="1"/>
  <c r="R90" i="12"/>
  <c r="Q91" i="12" s="1"/>
  <c r="Q92" i="12" s="1"/>
  <c r="Q89" i="12"/>
  <c r="P89" i="12"/>
  <c r="O89" i="12"/>
  <c r="N89" i="12"/>
  <c r="M89" i="12"/>
  <c r="L89" i="12"/>
  <c r="K89" i="12"/>
  <c r="J89" i="12"/>
  <c r="I89" i="12"/>
  <c r="H89" i="12"/>
  <c r="G89" i="12"/>
  <c r="F89" i="12"/>
  <c r="D89" i="12"/>
  <c r="C89" i="12"/>
  <c r="R88" i="12"/>
  <c r="P87" i="12"/>
  <c r="O87" i="12"/>
  <c r="N87" i="12"/>
  <c r="M87" i="12"/>
  <c r="K87" i="12"/>
  <c r="J87" i="12"/>
  <c r="H87" i="12"/>
  <c r="F87" i="12"/>
  <c r="D87" i="12"/>
  <c r="C87" i="12"/>
  <c r="I85" i="12"/>
  <c r="I87" i="12" s="1"/>
  <c r="G85" i="12"/>
  <c r="L86" i="12" s="1"/>
  <c r="Q84" i="12"/>
  <c r="P84" i="12"/>
  <c r="O84" i="12"/>
  <c r="N84" i="12"/>
  <c r="M84" i="12"/>
  <c r="L84" i="12"/>
  <c r="K84" i="12"/>
  <c r="J84" i="12"/>
  <c r="I84" i="12"/>
  <c r="H84" i="12"/>
  <c r="G84" i="12"/>
  <c r="F84" i="12"/>
  <c r="R83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F93" i="12" s="1"/>
  <c r="D82" i="12"/>
  <c r="C82" i="12"/>
  <c r="R81" i="12"/>
  <c r="R80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D79" i="12"/>
  <c r="C79" i="12"/>
  <c r="R78" i="12"/>
  <c r="N74" i="12"/>
  <c r="K74" i="12"/>
  <c r="J74" i="12"/>
  <c r="I74" i="12"/>
  <c r="H74" i="12"/>
  <c r="G74" i="12"/>
  <c r="F74" i="12"/>
  <c r="D74" i="12"/>
  <c r="C74" i="12"/>
  <c r="L73" i="12"/>
  <c r="L74" i="12" s="1"/>
  <c r="R72" i="12"/>
  <c r="P71" i="12"/>
  <c r="O71" i="12"/>
  <c r="O75" i="12" s="1"/>
  <c r="N71" i="12"/>
  <c r="M71" i="12"/>
  <c r="K71" i="12"/>
  <c r="J71" i="12"/>
  <c r="I71" i="12"/>
  <c r="H71" i="12"/>
  <c r="G71" i="12"/>
  <c r="F71" i="12"/>
  <c r="D71" i="12"/>
  <c r="C71" i="12"/>
  <c r="L70" i="12"/>
  <c r="L71" i="12" s="1"/>
  <c r="R69" i="12"/>
  <c r="Q70" i="12" s="1"/>
  <c r="Q71" i="12" s="1"/>
  <c r="Q68" i="12"/>
  <c r="P68" i="12"/>
  <c r="O68" i="12"/>
  <c r="N68" i="12"/>
  <c r="M68" i="12"/>
  <c r="L68" i="12"/>
  <c r="K68" i="12"/>
  <c r="J68" i="12"/>
  <c r="I68" i="12"/>
  <c r="H68" i="12"/>
  <c r="G68" i="12"/>
  <c r="F68" i="12"/>
  <c r="D68" i="12"/>
  <c r="C68" i="12"/>
  <c r="R67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D66" i="12"/>
  <c r="C66" i="12"/>
  <c r="R65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D64" i="12"/>
  <c r="C64" i="12"/>
  <c r="R63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D62" i="12"/>
  <c r="C62" i="12"/>
  <c r="R61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D60" i="12"/>
  <c r="C60" i="12"/>
  <c r="R59" i="12"/>
  <c r="P58" i="12"/>
  <c r="O58" i="12"/>
  <c r="N58" i="12"/>
  <c r="M58" i="12"/>
  <c r="K58" i="12"/>
  <c r="J58" i="12"/>
  <c r="I58" i="12"/>
  <c r="H58" i="12"/>
  <c r="G58" i="12"/>
  <c r="F58" i="12"/>
  <c r="D58" i="12"/>
  <c r="C58" i="12"/>
  <c r="L57" i="12"/>
  <c r="L58" i="12" s="1"/>
  <c r="R56" i="12"/>
  <c r="Q57" i="12" s="1"/>
  <c r="Q58" i="12" s="1"/>
  <c r="Q52" i="12"/>
  <c r="P52" i="12"/>
  <c r="O52" i="12"/>
  <c r="N52" i="12"/>
  <c r="M52" i="12"/>
  <c r="L52" i="12"/>
  <c r="K52" i="12"/>
  <c r="J52" i="12"/>
  <c r="I52" i="12"/>
  <c r="H52" i="12"/>
  <c r="G52" i="12"/>
  <c r="F52" i="12"/>
  <c r="D52" i="12"/>
  <c r="C52" i="12"/>
  <c r="R51" i="12"/>
  <c r="R50" i="12"/>
  <c r="P49" i="12"/>
  <c r="O49" i="12"/>
  <c r="N49" i="12"/>
  <c r="M49" i="12"/>
  <c r="K49" i="12"/>
  <c r="J49" i="12"/>
  <c r="I49" i="12"/>
  <c r="H49" i="12"/>
  <c r="G49" i="12"/>
  <c r="F49" i="12"/>
  <c r="D49" i="12"/>
  <c r="C49" i="12"/>
  <c r="L48" i="12"/>
  <c r="L49" i="12" s="1"/>
  <c r="R47" i="12"/>
  <c r="R46" i="12"/>
  <c r="R45" i="12"/>
  <c r="Q48" i="12" s="1"/>
  <c r="Q49" i="12" s="1"/>
  <c r="U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D44" i="12"/>
  <c r="C44" i="12"/>
  <c r="R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D42" i="12"/>
  <c r="C42" i="12"/>
  <c r="R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D40" i="12"/>
  <c r="E40" i="12" s="1"/>
  <c r="R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D38" i="12"/>
  <c r="C38" i="12"/>
  <c r="R37" i="12"/>
  <c r="R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D35" i="12"/>
  <c r="C35" i="12"/>
  <c r="R34" i="12"/>
  <c r="P33" i="12"/>
  <c r="O33" i="12"/>
  <c r="N33" i="12"/>
  <c r="M33" i="12"/>
  <c r="K33" i="12"/>
  <c r="J33" i="12"/>
  <c r="I33" i="12"/>
  <c r="H33" i="12"/>
  <c r="G33" i="12"/>
  <c r="F33" i="12"/>
  <c r="D33" i="12"/>
  <c r="C33" i="12"/>
  <c r="L32" i="12"/>
  <c r="L33" i="12" s="1"/>
  <c r="R31" i="12"/>
  <c r="Q32" i="12" s="1"/>
  <c r="Q33" i="12" s="1"/>
  <c r="Q30" i="12"/>
  <c r="P30" i="12"/>
  <c r="O30" i="12"/>
  <c r="N30" i="12"/>
  <c r="M30" i="12"/>
  <c r="L30" i="12"/>
  <c r="K30" i="12"/>
  <c r="J30" i="12"/>
  <c r="I30" i="12"/>
  <c r="H30" i="12"/>
  <c r="G30" i="12"/>
  <c r="F30" i="12"/>
  <c r="D30" i="12"/>
  <c r="C30" i="12"/>
  <c r="R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D28" i="12"/>
  <c r="C28" i="12"/>
  <c r="R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D26" i="12"/>
  <c r="C26" i="12"/>
  <c r="R25" i="12"/>
  <c r="R24" i="12"/>
  <c r="R23" i="12"/>
  <c r="R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D21" i="12"/>
  <c r="C21" i="12"/>
  <c r="L20" i="12"/>
  <c r="R19" i="12"/>
  <c r="R18" i="12"/>
  <c r="Q20" i="12" s="1"/>
  <c r="P17" i="12"/>
  <c r="O17" i="12"/>
  <c r="N17" i="12"/>
  <c r="M17" i="12"/>
  <c r="K17" i="12"/>
  <c r="J17" i="12"/>
  <c r="I17" i="12"/>
  <c r="H17" i="12"/>
  <c r="G17" i="12"/>
  <c r="F17" i="12"/>
  <c r="D17" i="12"/>
  <c r="C17" i="12"/>
  <c r="L16" i="12"/>
  <c r="L17" i="12" s="1"/>
  <c r="R15" i="12"/>
  <c r="R14" i="12"/>
  <c r="R13" i="12"/>
  <c r="Q16" i="12" s="1"/>
  <c r="Q17" i="12" s="1"/>
  <c r="Q12" i="12"/>
  <c r="P12" i="12"/>
  <c r="O12" i="12"/>
  <c r="N12" i="12"/>
  <c r="M12" i="12"/>
  <c r="L12" i="12"/>
  <c r="K12" i="12"/>
  <c r="J12" i="12"/>
  <c r="H12" i="12"/>
  <c r="G12" i="12"/>
  <c r="F12" i="12"/>
  <c r="D12" i="12"/>
  <c r="C12" i="12"/>
  <c r="I11" i="12"/>
  <c r="I12" i="12" s="1"/>
  <c r="R9" i="12"/>
  <c r="R8" i="12"/>
  <c r="Q7" i="12"/>
  <c r="P7" i="12"/>
  <c r="O7" i="12"/>
  <c r="N7" i="12"/>
  <c r="M7" i="12"/>
  <c r="L7" i="12"/>
  <c r="K7" i="12"/>
  <c r="J7" i="12"/>
  <c r="I7" i="12"/>
  <c r="H7" i="12"/>
  <c r="G7" i="12"/>
  <c r="F7" i="12"/>
  <c r="D7" i="12"/>
  <c r="C7" i="12"/>
  <c r="L5" i="12"/>
  <c r="K5" i="12"/>
  <c r="I5" i="12"/>
  <c r="H5" i="12"/>
  <c r="G5" i="12"/>
  <c r="F5" i="12"/>
  <c r="D5" i="12"/>
  <c r="C5" i="12"/>
  <c r="N4" i="12"/>
  <c r="O4" i="12" s="1"/>
  <c r="P4" i="12" s="1"/>
  <c r="K4" i="12"/>
  <c r="G83" i="10"/>
  <c r="H83" i="10"/>
  <c r="I83" i="10"/>
  <c r="J83" i="10"/>
  <c r="K83" i="10"/>
  <c r="L83" i="10"/>
  <c r="M83" i="10"/>
  <c r="N83" i="10"/>
  <c r="O83" i="10"/>
  <c r="P83" i="10"/>
  <c r="Q83" i="10"/>
  <c r="F83" i="10"/>
  <c r="R127" i="10"/>
  <c r="R128" i="10"/>
  <c r="P81" i="10"/>
  <c r="O81" i="10"/>
  <c r="N81" i="10"/>
  <c r="M81" i="10"/>
  <c r="L81" i="10"/>
  <c r="K81" i="10"/>
  <c r="J81" i="10"/>
  <c r="I81" i="10"/>
  <c r="H81" i="10"/>
  <c r="G81" i="10"/>
  <c r="F81" i="10"/>
  <c r="Q81" i="10"/>
  <c r="R80" i="10"/>
  <c r="F159" i="17" l="1"/>
  <c r="F162" i="17" s="1"/>
  <c r="V82" i="14"/>
  <c r="R35" i="14"/>
  <c r="R12" i="14"/>
  <c r="Q93" i="14"/>
  <c r="Q94" i="14" s="1"/>
  <c r="Q100" i="14" s="1"/>
  <c r="S75" i="14"/>
  <c r="S46" i="14"/>
  <c r="S134" i="14"/>
  <c r="M143" i="14"/>
  <c r="E100" i="14"/>
  <c r="Q114" i="14"/>
  <c r="R114" i="14" s="1"/>
  <c r="S114" i="14" s="1"/>
  <c r="Q41" i="14"/>
  <c r="R41" i="14" s="1"/>
  <c r="V41" i="14" s="1"/>
  <c r="R99" i="14"/>
  <c r="V99" i="14" s="1"/>
  <c r="I143" i="14"/>
  <c r="S28" i="14"/>
  <c r="S48" i="14"/>
  <c r="E82" i="14"/>
  <c r="S67" i="14"/>
  <c r="F143" i="14"/>
  <c r="S71" i="14"/>
  <c r="C143" i="14"/>
  <c r="H143" i="14"/>
  <c r="S69" i="14"/>
  <c r="T91" i="14"/>
  <c r="Q31" i="14"/>
  <c r="R31" i="14" s="1"/>
  <c r="S31" i="14" s="1"/>
  <c r="S7" i="14"/>
  <c r="S22" i="14"/>
  <c r="J143" i="14"/>
  <c r="U82" i="14"/>
  <c r="S78" i="14"/>
  <c r="Q82" i="14"/>
  <c r="S36" i="14"/>
  <c r="K143" i="14"/>
  <c r="S38" i="14"/>
  <c r="S59" i="14"/>
  <c r="R55" i="14"/>
  <c r="S65" i="14"/>
  <c r="R56" i="14"/>
  <c r="S56" i="14" s="1"/>
  <c r="R17" i="14"/>
  <c r="N143" i="14"/>
  <c r="N146" i="14" s="1"/>
  <c r="N152" i="14" s="1"/>
  <c r="R4" i="14"/>
  <c r="S96" i="14"/>
  <c r="S86" i="14"/>
  <c r="R81" i="14"/>
  <c r="S33" i="14"/>
  <c r="S89" i="14"/>
  <c r="R80" i="14"/>
  <c r="S73" i="14"/>
  <c r="S41" i="14"/>
  <c r="E60" i="14"/>
  <c r="O60" i="14"/>
  <c r="O143" i="14" s="1"/>
  <c r="R18" i="14"/>
  <c r="L60" i="14"/>
  <c r="L94" i="14"/>
  <c r="L126" i="14"/>
  <c r="R123" i="14"/>
  <c r="S123" i="14" s="1"/>
  <c r="D143" i="14"/>
  <c r="G100" i="14"/>
  <c r="G143" i="14" s="1"/>
  <c r="Q104" i="12"/>
  <c r="E74" i="12"/>
  <c r="E68" i="12"/>
  <c r="R62" i="12"/>
  <c r="U62" i="12" s="1"/>
  <c r="R28" i="12"/>
  <c r="U28" i="12" s="1"/>
  <c r="N75" i="12"/>
  <c r="R60" i="12"/>
  <c r="U60" i="12" s="1"/>
  <c r="R98" i="12"/>
  <c r="E26" i="12"/>
  <c r="C93" i="12"/>
  <c r="E60" i="12"/>
  <c r="S60" i="12" s="1"/>
  <c r="C75" i="12"/>
  <c r="E64" i="12"/>
  <c r="E75" i="12" s="1"/>
  <c r="R71" i="12"/>
  <c r="U71" i="12" s="1"/>
  <c r="R79" i="12"/>
  <c r="U79" i="12" s="1"/>
  <c r="E7" i="12"/>
  <c r="S7" i="12" s="1"/>
  <c r="H75" i="12"/>
  <c r="H133" i="12" s="1"/>
  <c r="E12" i="12"/>
  <c r="D93" i="12"/>
  <c r="E17" i="12"/>
  <c r="E35" i="12"/>
  <c r="E92" i="12"/>
  <c r="R35" i="12"/>
  <c r="U35" i="12" s="1"/>
  <c r="E28" i="12"/>
  <c r="S28" i="12" s="1"/>
  <c r="R44" i="12"/>
  <c r="E87" i="12"/>
  <c r="E105" i="12"/>
  <c r="E79" i="12"/>
  <c r="S79" i="12" s="1"/>
  <c r="R84" i="12"/>
  <c r="J93" i="12"/>
  <c r="R113" i="12"/>
  <c r="E119" i="12"/>
  <c r="K93" i="12"/>
  <c r="E66" i="12"/>
  <c r="P93" i="12"/>
  <c r="S40" i="12"/>
  <c r="E58" i="12"/>
  <c r="R68" i="12"/>
  <c r="U68" i="12" s="1"/>
  <c r="E38" i="12"/>
  <c r="S98" i="12"/>
  <c r="E33" i="12"/>
  <c r="J53" i="12"/>
  <c r="R26" i="12"/>
  <c r="U26" i="12" s="1"/>
  <c r="G87" i="12"/>
  <c r="G93" i="12" s="1"/>
  <c r="E82" i="12"/>
  <c r="R21" i="12"/>
  <c r="U21" i="12" s="1"/>
  <c r="R42" i="12"/>
  <c r="U42" i="12" s="1"/>
  <c r="R64" i="12"/>
  <c r="U64" i="12" s="1"/>
  <c r="P75" i="12"/>
  <c r="Q73" i="12"/>
  <c r="Q74" i="12" s="1"/>
  <c r="E114" i="12"/>
  <c r="R125" i="12"/>
  <c r="E71" i="12"/>
  <c r="E44" i="12"/>
  <c r="E42" i="12"/>
  <c r="R20" i="12"/>
  <c r="R38" i="12"/>
  <c r="U38" i="12" s="1"/>
  <c r="E89" i="12"/>
  <c r="J75" i="12"/>
  <c r="R17" i="12"/>
  <c r="U17" i="12" s="1"/>
  <c r="L53" i="12"/>
  <c r="R30" i="12"/>
  <c r="U30" i="12" s="1"/>
  <c r="R48" i="12"/>
  <c r="G75" i="12"/>
  <c r="G133" i="12" s="1"/>
  <c r="E52" i="12"/>
  <c r="E21" i="12"/>
  <c r="R49" i="12"/>
  <c r="K75" i="12"/>
  <c r="E30" i="12"/>
  <c r="R66" i="12"/>
  <c r="U66" i="12" s="1"/>
  <c r="M75" i="12"/>
  <c r="I93" i="12"/>
  <c r="R114" i="12"/>
  <c r="S114" i="12" s="1"/>
  <c r="E5" i="12"/>
  <c r="G53" i="12"/>
  <c r="R70" i="12"/>
  <c r="R82" i="12"/>
  <c r="U82" i="12" s="1"/>
  <c r="R89" i="12"/>
  <c r="U89" i="12" s="1"/>
  <c r="M93" i="12"/>
  <c r="R131" i="12"/>
  <c r="S131" i="12" s="1"/>
  <c r="H53" i="12"/>
  <c r="R7" i="12"/>
  <c r="U7" i="12" s="1"/>
  <c r="R40" i="12"/>
  <c r="R52" i="12"/>
  <c r="U52" i="12" s="1"/>
  <c r="N93" i="12"/>
  <c r="R32" i="12"/>
  <c r="Q4" i="12"/>
  <c r="R4" i="12" s="1"/>
  <c r="C53" i="12"/>
  <c r="L117" i="12"/>
  <c r="L87" i="12"/>
  <c r="L93" i="12" s="1"/>
  <c r="R58" i="12"/>
  <c r="U58" i="12" s="1"/>
  <c r="R92" i="12"/>
  <c r="I75" i="12"/>
  <c r="Q105" i="12"/>
  <c r="R105" i="12" s="1"/>
  <c r="S105" i="12" s="1"/>
  <c r="R104" i="12"/>
  <c r="R33" i="12"/>
  <c r="U33" i="12" s="1"/>
  <c r="I53" i="12"/>
  <c r="R12" i="12"/>
  <c r="U12" i="12" s="1"/>
  <c r="Q75" i="12"/>
  <c r="R57" i="12"/>
  <c r="D75" i="12"/>
  <c r="E49" i="12"/>
  <c r="R91" i="12"/>
  <c r="F53" i="12"/>
  <c r="K53" i="12"/>
  <c r="T84" i="12"/>
  <c r="S84" i="12"/>
  <c r="F133" i="12"/>
  <c r="F139" i="12" s="1"/>
  <c r="R74" i="12"/>
  <c r="L75" i="12"/>
  <c r="R16" i="12"/>
  <c r="E62" i="12"/>
  <c r="H93" i="12"/>
  <c r="D53" i="12"/>
  <c r="F75" i="12"/>
  <c r="M5" i="12"/>
  <c r="E125" i="12"/>
  <c r="R11" i="12"/>
  <c r="R85" i="12"/>
  <c r="Q86" i="12" s="1"/>
  <c r="Q87" i="12" s="1"/>
  <c r="Q93" i="12" s="1"/>
  <c r="K137" i="10"/>
  <c r="L137" i="10"/>
  <c r="H159" i="17" l="1"/>
  <c r="H162" i="17" s="1"/>
  <c r="K162" i="17" s="1"/>
  <c r="U159" i="17"/>
  <c r="U162" i="17" s="1"/>
  <c r="E143" i="14"/>
  <c r="S12" i="14"/>
  <c r="R93" i="14"/>
  <c r="R94" i="14"/>
  <c r="N149" i="14"/>
  <c r="S99" i="14"/>
  <c r="L100" i="14"/>
  <c r="R82" i="14"/>
  <c r="S81" i="14"/>
  <c r="S82" i="14" s="1"/>
  <c r="S94" i="14"/>
  <c r="S18" i="14"/>
  <c r="P60" i="14"/>
  <c r="P143" i="14" s="1"/>
  <c r="Q60" i="14"/>
  <c r="Q143" i="14" s="1"/>
  <c r="O146" i="14"/>
  <c r="O152" i="14" s="1"/>
  <c r="L128" i="14"/>
  <c r="R126" i="14"/>
  <c r="K133" i="12"/>
  <c r="E53" i="12"/>
  <c r="S89" i="12"/>
  <c r="J133" i="12"/>
  <c r="C133" i="12"/>
  <c r="I133" i="12"/>
  <c r="S42" i="12"/>
  <c r="S44" i="12"/>
  <c r="E93" i="12"/>
  <c r="E133" i="12" s="1"/>
  <c r="S30" i="12"/>
  <c r="S71" i="12"/>
  <c r="S17" i="12"/>
  <c r="S62" i="12"/>
  <c r="S21" i="12"/>
  <c r="S12" i="12"/>
  <c r="S66" i="12"/>
  <c r="S35" i="12"/>
  <c r="R73" i="12"/>
  <c r="S52" i="12"/>
  <c r="S38" i="12"/>
  <c r="S68" i="12"/>
  <c r="S49" i="12"/>
  <c r="D133" i="12"/>
  <c r="S82" i="12"/>
  <c r="S64" i="12"/>
  <c r="U75" i="12"/>
  <c r="S26" i="12"/>
  <c r="U92" i="12"/>
  <c r="R86" i="12"/>
  <c r="R75" i="12"/>
  <c r="R87" i="12"/>
  <c r="L119" i="12"/>
  <c r="R117" i="12"/>
  <c r="S92" i="12"/>
  <c r="S33" i="12"/>
  <c r="S125" i="12"/>
  <c r="M53" i="12"/>
  <c r="M133" i="12" s="1"/>
  <c r="N5" i="12"/>
  <c r="S74" i="12"/>
  <c r="S58" i="12"/>
  <c r="U104" i="10"/>
  <c r="L90" i="10"/>
  <c r="L91" i="10" s="1"/>
  <c r="L15" i="10"/>
  <c r="L16" i="10" s="1"/>
  <c r="G137" i="10"/>
  <c r="L11" i="10"/>
  <c r="H137" i="10"/>
  <c r="I10" i="10"/>
  <c r="R10" i="10" s="1"/>
  <c r="I137" i="10"/>
  <c r="N123" i="10"/>
  <c r="O123" i="10"/>
  <c r="P123" i="10"/>
  <c r="Q123" i="10"/>
  <c r="F123" i="10"/>
  <c r="G123" i="10"/>
  <c r="H123" i="10"/>
  <c r="I123" i="10"/>
  <c r="K123" i="10"/>
  <c r="L123" i="10"/>
  <c r="M123" i="10"/>
  <c r="J123" i="10"/>
  <c r="F113" i="10"/>
  <c r="G113" i="10"/>
  <c r="H113" i="10"/>
  <c r="I113" i="10"/>
  <c r="J113" i="10"/>
  <c r="K113" i="10"/>
  <c r="L113" i="10"/>
  <c r="M113" i="10"/>
  <c r="O113" i="10"/>
  <c r="P113" i="10"/>
  <c r="Q113" i="10"/>
  <c r="J137" i="10"/>
  <c r="G37" i="10"/>
  <c r="H37" i="10"/>
  <c r="I37" i="10"/>
  <c r="J37" i="10"/>
  <c r="K37" i="10"/>
  <c r="L37" i="10"/>
  <c r="M37" i="10"/>
  <c r="N37" i="10"/>
  <c r="O37" i="10"/>
  <c r="P37" i="10"/>
  <c r="Q37" i="10"/>
  <c r="F37" i="10"/>
  <c r="R36" i="10"/>
  <c r="K4" i="10"/>
  <c r="K5" i="10"/>
  <c r="L5" i="10"/>
  <c r="M5" i="10" s="1"/>
  <c r="C159" i="10"/>
  <c r="D113" i="10"/>
  <c r="M104" i="10"/>
  <c r="M97" i="10"/>
  <c r="O86" i="10"/>
  <c r="M11" i="10"/>
  <c r="N11" i="10"/>
  <c r="O11" i="10"/>
  <c r="P11" i="10"/>
  <c r="Q11" i="10"/>
  <c r="K11" i="10"/>
  <c r="H11" i="10"/>
  <c r="I11" i="10"/>
  <c r="J11" i="10"/>
  <c r="F11" i="10"/>
  <c r="G11" i="10"/>
  <c r="Q112" i="10"/>
  <c r="R112" i="10" s="1"/>
  <c r="U43" i="10"/>
  <c r="L97" i="10"/>
  <c r="L104" i="10"/>
  <c r="L72" i="10"/>
  <c r="L73" i="10" s="1"/>
  <c r="L69" i="10"/>
  <c r="L70" i="10" s="1"/>
  <c r="L56" i="10"/>
  <c r="L57" i="10" s="1"/>
  <c r="L47" i="10"/>
  <c r="L48" i="10"/>
  <c r="L31" i="10"/>
  <c r="U123" i="10"/>
  <c r="R121" i="10"/>
  <c r="L19" i="10"/>
  <c r="L20" i="10"/>
  <c r="M20" i="10"/>
  <c r="L27" i="10"/>
  <c r="K25" i="10"/>
  <c r="L25" i="10"/>
  <c r="R14" i="10"/>
  <c r="L7" i="10"/>
  <c r="H16" i="10"/>
  <c r="K104" i="10"/>
  <c r="K97" i="10"/>
  <c r="L51" i="10"/>
  <c r="M51" i="10"/>
  <c r="N51" i="10"/>
  <c r="O51" i="10"/>
  <c r="P51" i="10"/>
  <c r="Q51" i="10"/>
  <c r="K51" i="10"/>
  <c r="G51" i="10"/>
  <c r="H51" i="10"/>
  <c r="J51" i="10"/>
  <c r="I51" i="10"/>
  <c r="R50" i="10"/>
  <c r="L157" i="10"/>
  <c r="N104" i="10"/>
  <c r="O104" i="10"/>
  <c r="P104" i="10"/>
  <c r="F104" i="10"/>
  <c r="H104" i="10"/>
  <c r="I104" i="10"/>
  <c r="J104" i="10"/>
  <c r="G104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D39" i="10"/>
  <c r="E39" i="10" s="1"/>
  <c r="R38" i="10"/>
  <c r="C16" i="10"/>
  <c r="D16" i="10"/>
  <c r="C20" i="10"/>
  <c r="D20" i="10"/>
  <c r="R102" i="10"/>
  <c r="F91" i="10"/>
  <c r="G91" i="10"/>
  <c r="H91" i="10"/>
  <c r="I91" i="10"/>
  <c r="J91" i="10"/>
  <c r="P91" i="10"/>
  <c r="O91" i="10"/>
  <c r="N91" i="10"/>
  <c r="M91" i="10"/>
  <c r="K91" i="10"/>
  <c r="F86" i="10"/>
  <c r="H86" i="10"/>
  <c r="J86" i="10"/>
  <c r="P86" i="10"/>
  <c r="N86" i="10"/>
  <c r="M86" i="10"/>
  <c r="K86" i="10"/>
  <c r="R71" i="10"/>
  <c r="N73" i="10"/>
  <c r="K73" i="10"/>
  <c r="J73" i="10"/>
  <c r="I73" i="10"/>
  <c r="H73" i="10"/>
  <c r="G73" i="10"/>
  <c r="F73" i="10"/>
  <c r="P70" i="10"/>
  <c r="O70" i="10"/>
  <c r="N70" i="10"/>
  <c r="M70" i="10"/>
  <c r="K70" i="10"/>
  <c r="J70" i="10"/>
  <c r="I70" i="10"/>
  <c r="H70" i="10"/>
  <c r="G70" i="10"/>
  <c r="F70" i="10"/>
  <c r="J57" i="10"/>
  <c r="I57" i="10"/>
  <c r="H57" i="10"/>
  <c r="G57" i="10"/>
  <c r="F57" i="10"/>
  <c r="K57" i="10"/>
  <c r="M57" i="10"/>
  <c r="N57" i="10"/>
  <c r="O57" i="10"/>
  <c r="P57" i="10"/>
  <c r="F48" i="10"/>
  <c r="G48" i="10"/>
  <c r="H48" i="10"/>
  <c r="I48" i="10"/>
  <c r="J48" i="10"/>
  <c r="K48" i="10"/>
  <c r="M48" i="10"/>
  <c r="N48" i="10"/>
  <c r="O48" i="10"/>
  <c r="P48" i="10"/>
  <c r="F16" i="10"/>
  <c r="G16" i="10"/>
  <c r="I16" i="10"/>
  <c r="J16" i="10"/>
  <c r="K16" i="10"/>
  <c r="M16" i="10"/>
  <c r="N16" i="10"/>
  <c r="O16" i="10"/>
  <c r="P16" i="10"/>
  <c r="R83" i="10"/>
  <c r="S83" i="10" s="1"/>
  <c r="R82" i="10"/>
  <c r="R126" i="10"/>
  <c r="G108" i="9"/>
  <c r="R12" i="10"/>
  <c r="C25" i="10"/>
  <c r="R110" i="10"/>
  <c r="D123" i="10"/>
  <c r="D118" i="10"/>
  <c r="D104" i="10"/>
  <c r="D97" i="10"/>
  <c r="Q97" i="10"/>
  <c r="P97" i="10"/>
  <c r="O97" i="10"/>
  <c r="N97" i="10"/>
  <c r="J97" i="10"/>
  <c r="I97" i="10"/>
  <c r="H97" i="10"/>
  <c r="G97" i="10"/>
  <c r="F97" i="10"/>
  <c r="R96" i="10"/>
  <c r="U96" i="10" s="1"/>
  <c r="R95" i="10"/>
  <c r="S100" i="14" l="1"/>
  <c r="U100" i="14"/>
  <c r="R100" i="14"/>
  <c r="R5" i="14"/>
  <c r="P146" i="14"/>
  <c r="P152" i="14" s="1"/>
  <c r="R60" i="14"/>
  <c r="S5" i="14"/>
  <c r="S60" i="14" s="1"/>
  <c r="L143" i="14"/>
  <c r="R128" i="14"/>
  <c r="S75" i="12"/>
  <c r="O5" i="12"/>
  <c r="N53" i="12"/>
  <c r="N133" i="12" s="1"/>
  <c r="R119" i="12"/>
  <c r="L133" i="12"/>
  <c r="U87" i="12"/>
  <c r="U93" i="12" s="1"/>
  <c r="S87" i="12"/>
  <c r="S93" i="12" s="1"/>
  <c r="R93" i="12"/>
  <c r="R123" i="10"/>
  <c r="R97" i="10"/>
  <c r="N113" i="10"/>
  <c r="R113" i="10" s="1"/>
  <c r="U97" i="10"/>
  <c r="Q72" i="10"/>
  <c r="R72" i="10" s="1"/>
  <c r="R39" i="10"/>
  <c r="S39" i="10" s="1"/>
  <c r="E16" i="10"/>
  <c r="T83" i="10"/>
  <c r="E97" i="10"/>
  <c r="R122" i="10"/>
  <c r="R117" i="10"/>
  <c r="R111" i="10"/>
  <c r="R109" i="10"/>
  <c r="R108" i="10"/>
  <c r="R107" i="10"/>
  <c r="R101" i="10"/>
  <c r="R100" i="10"/>
  <c r="R49" i="10"/>
  <c r="R89" i="10"/>
  <c r="Q90" i="10" s="1"/>
  <c r="Q91" i="10" s="1"/>
  <c r="R91" i="10" s="1"/>
  <c r="U91" i="10" s="1"/>
  <c r="R45" i="10"/>
  <c r="R46" i="10"/>
  <c r="R44" i="10"/>
  <c r="R68" i="10"/>
  <c r="Q69" i="10" s="1"/>
  <c r="R66" i="10"/>
  <c r="R42" i="10"/>
  <c r="R64" i="10"/>
  <c r="R62" i="10"/>
  <c r="R60" i="10"/>
  <c r="R58" i="10"/>
  <c r="R55" i="10"/>
  <c r="Q56" i="10" s="1"/>
  <c r="R40" i="10"/>
  <c r="R87" i="10"/>
  <c r="R79" i="10"/>
  <c r="R77" i="10"/>
  <c r="R35" i="10"/>
  <c r="R37" i="10" s="1"/>
  <c r="R33" i="10"/>
  <c r="R30" i="10"/>
  <c r="Q31" i="10" s="1"/>
  <c r="R31" i="10" s="1"/>
  <c r="R28" i="10"/>
  <c r="R26" i="10"/>
  <c r="R22" i="10"/>
  <c r="R24" i="10"/>
  <c r="R23" i="10"/>
  <c r="R21" i="10"/>
  <c r="R18" i="10"/>
  <c r="R17" i="10"/>
  <c r="R13" i="10"/>
  <c r="R9" i="10"/>
  <c r="G111" i="11"/>
  <c r="G117" i="11"/>
  <c r="G124" i="11"/>
  <c r="G130" i="11"/>
  <c r="G136" i="11"/>
  <c r="G147" i="11"/>
  <c r="G151" i="11"/>
  <c r="H151" i="11" s="1"/>
  <c r="F151" i="11"/>
  <c r="E151" i="11"/>
  <c r="D151" i="11"/>
  <c r="M7" i="10"/>
  <c r="N7" i="10"/>
  <c r="O7" i="10"/>
  <c r="P7" i="10"/>
  <c r="Q7" i="10"/>
  <c r="C59" i="10"/>
  <c r="C57" i="10"/>
  <c r="E129" i="10"/>
  <c r="F14" i="11"/>
  <c r="F17" i="11" s="1"/>
  <c r="E14" i="11"/>
  <c r="E17" i="11" s="1"/>
  <c r="E7" i="11"/>
  <c r="F7" i="11"/>
  <c r="E10" i="11"/>
  <c r="F10" i="11"/>
  <c r="E13" i="11"/>
  <c r="F13" i="11"/>
  <c r="E20" i="11"/>
  <c r="F20" i="11"/>
  <c r="E23" i="11"/>
  <c r="F23" i="11"/>
  <c r="E26" i="11"/>
  <c r="F26" i="11"/>
  <c r="E29" i="11"/>
  <c r="F29" i="11"/>
  <c r="E32" i="11"/>
  <c r="F32" i="11"/>
  <c r="E35" i="11"/>
  <c r="F35" i="11"/>
  <c r="E38" i="11"/>
  <c r="F38" i="11"/>
  <c r="E41" i="11"/>
  <c r="F41" i="11"/>
  <c r="E44" i="11"/>
  <c r="F44" i="11"/>
  <c r="E47" i="11"/>
  <c r="F47" i="11"/>
  <c r="E50" i="11"/>
  <c r="F50" i="11"/>
  <c r="E53" i="11"/>
  <c r="F53" i="11"/>
  <c r="E56" i="11"/>
  <c r="F56" i="11"/>
  <c r="E59" i="11"/>
  <c r="F59" i="11"/>
  <c r="E62" i="11"/>
  <c r="F62" i="11"/>
  <c r="E65" i="11"/>
  <c r="F65" i="11"/>
  <c r="E68" i="11"/>
  <c r="F68" i="11"/>
  <c r="E71" i="11"/>
  <c r="F71" i="11"/>
  <c r="E74" i="11"/>
  <c r="F74" i="11"/>
  <c r="E77" i="11"/>
  <c r="F77" i="11"/>
  <c r="E80" i="11"/>
  <c r="F80" i="11"/>
  <c r="E83" i="11"/>
  <c r="F83" i="11"/>
  <c r="E86" i="11"/>
  <c r="F86" i="11"/>
  <c r="E90" i="11"/>
  <c r="F90" i="11"/>
  <c r="E93" i="11"/>
  <c r="F93" i="11"/>
  <c r="E96" i="11"/>
  <c r="F96" i="11"/>
  <c r="E99" i="11"/>
  <c r="F99" i="11"/>
  <c r="E102" i="11"/>
  <c r="F102" i="11"/>
  <c r="D7" i="11"/>
  <c r="D10" i="11"/>
  <c r="D13" i="11"/>
  <c r="D17" i="11"/>
  <c r="D20" i="11"/>
  <c r="D23" i="11"/>
  <c r="D26" i="11"/>
  <c r="D29" i="11"/>
  <c r="D32" i="11"/>
  <c r="D35" i="11"/>
  <c r="D38" i="11"/>
  <c r="D41" i="11"/>
  <c r="G41" i="11" s="1"/>
  <c r="H41" i="11" s="1"/>
  <c r="D34" i="10" s="1"/>
  <c r="D44" i="11"/>
  <c r="G44" i="11" s="1"/>
  <c r="H44" i="11" s="1"/>
  <c r="D37" i="10" s="1"/>
  <c r="D47" i="11"/>
  <c r="D50" i="11"/>
  <c r="D53" i="11"/>
  <c r="D56" i="11"/>
  <c r="D59" i="11"/>
  <c r="D62" i="11"/>
  <c r="D65" i="11"/>
  <c r="D68" i="11"/>
  <c r="D71" i="11"/>
  <c r="D74" i="11"/>
  <c r="D77" i="11"/>
  <c r="D80" i="11"/>
  <c r="D83" i="11"/>
  <c r="D86" i="11"/>
  <c r="D90" i="11"/>
  <c r="D93" i="11"/>
  <c r="G93" i="11" s="1"/>
  <c r="H93" i="11" s="1"/>
  <c r="D91" i="10" s="1"/>
  <c r="D94" i="11"/>
  <c r="D96" i="11" s="1"/>
  <c r="D99" i="11"/>
  <c r="D102" i="11"/>
  <c r="G102" i="11" s="1"/>
  <c r="C111" i="11"/>
  <c r="C117" i="11"/>
  <c r="C124" i="11"/>
  <c r="C130" i="11"/>
  <c r="C136" i="11"/>
  <c r="C147" i="11"/>
  <c r="F147" i="11"/>
  <c r="E147" i="11"/>
  <c r="D147" i="11"/>
  <c r="F136" i="11"/>
  <c r="E136" i="11"/>
  <c r="D136" i="11"/>
  <c r="F130" i="11"/>
  <c r="E130" i="11"/>
  <c r="D130" i="11"/>
  <c r="F124" i="11"/>
  <c r="E124" i="11"/>
  <c r="D124" i="11"/>
  <c r="F117" i="11"/>
  <c r="E117" i="11"/>
  <c r="D117" i="11"/>
  <c r="F111" i="11"/>
  <c r="E111" i="11"/>
  <c r="D111" i="11"/>
  <c r="I83" i="9"/>
  <c r="C123" i="10"/>
  <c r="C118" i="10"/>
  <c r="E118" i="10" s="1"/>
  <c r="C113" i="10"/>
  <c r="E113" i="10" s="1"/>
  <c r="C104" i="10"/>
  <c r="E104" i="10" s="1"/>
  <c r="C51" i="10"/>
  <c r="C73" i="10"/>
  <c r="C91" i="10"/>
  <c r="C48" i="10"/>
  <c r="C70" i="10"/>
  <c r="C67" i="10"/>
  <c r="C43" i="10"/>
  <c r="C65" i="10"/>
  <c r="C63" i="10"/>
  <c r="C61" i="10"/>
  <c r="C41" i="10"/>
  <c r="C88" i="10"/>
  <c r="C86" i="10"/>
  <c r="C81" i="10"/>
  <c r="C78" i="10"/>
  <c r="C37" i="10"/>
  <c r="C34" i="10"/>
  <c r="C32" i="10"/>
  <c r="C29" i="10"/>
  <c r="C27" i="10"/>
  <c r="C11" i="10"/>
  <c r="C7" i="10"/>
  <c r="C5" i="10"/>
  <c r="Q129" i="10"/>
  <c r="P129" i="10"/>
  <c r="O129" i="10"/>
  <c r="N129" i="10"/>
  <c r="M129" i="10"/>
  <c r="L129" i="10"/>
  <c r="Q118" i="10"/>
  <c r="P118" i="10"/>
  <c r="O118" i="10"/>
  <c r="N118" i="10"/>
  <c r="M118" i="10"/>
  <c r="Q67" i="10"/>
  <c r="P67" i="10"/>
  <c r="O67" i="10"/>
  <c r="N67" i="10"/>
  <c r="M67" i="10"/>
  <c r="L67" i="10"/>
  <c r="Q43" i="10"/>
  <c r="P43" i="10"/>
  <c r="O43" i="10"/>
  <c r="N43" i="10"/>
  <c r="M43" i="10"/>
  <c r="L43" i="10"/>
  <c r="Q65" i="10"/>
  <c r="P65" i="10"/>
  <c r="O65" i="10"/>
  <c r="N65" i="10"/>
  <c r="M65" i="10"/>
  <c r="L65" i="10"/>
  <c r="Q63" i="10"/>
  <c r="P63" i="10"/>
  <c r="O63" i="10"/>
  <c r="N63" i="10"/>
  <c r="M63" i="10"/>
  <c r="L63" i="10"/>
  <c r="Q61" i="10"/>
  <c r="P61" i="10"/>
  <c r="O61" i="10"/>
  <c r="N61" i="10"/>
  <c r="M61" i="10"/>
  <c r="L61" i="10"/>
  <c r="Q59" i="10"/>
  <c r="P59" i="10"/>
  <c r="O59" i="10"/>
  <c r="N59" i="10"/>
  <c r="M59" i="10"/>
  <c r="L59" i="10"/>
  <c r="Q41" i="10"/>
  <c r="P41" i="10"/>
  <c r="O41" i="10"/>
  <c r="N41" i="10"/>
  <c r="M41" i="10"/>
  <c r="L41" i="10"/>
  <c r="Q88" i="10"/>
  <c r="P88" i="10"/>
  <c r="P92" i="10" s="1"/>
  <c r="O88" i="10"/>
  <c r="O92" i="10" s="1"/>
  <c r="N88" i="10"/>
  <c r="M88" i="10"/>
  <c r="L88" i="10"/>
  <c r="Q78" i="10"/>
  <c r="P78" i="10"/>
  <c r="O78" i="10"/>
  <c r="N78" i="10"/>
  <c r="M78" i="10"/>
  <c r="L78" i="10"/>
  <c r="Q34" i="10"/>
  <c r="P34" i="10"/>
  <c r="O34" i="10"/>
  <c r="N34" i="10"/>
  <c r="M34" i="10"/>
  <c r="L34" i="10"/>
  <c r="P32" i="10"/>
  <c r="O32" i="10"/>
  <c r="N32" i="10"/>
  <c r="M32" i="10"/>
  <c r="L32" i="10"/>
  <c r="Q29" i="10"/>
  <c r="P29" i="10"/>
  <c r="O29" i="10"/>
  <c r="N29" i="10"/>
  <c r="M29" i="10"/>
  <c r="L29" i="10"/>
  <c r="Q27" i="10"/>
  <c r="P27" i="10"/>
  <c r="O27" i="10"/>
  <c r="N27" i="10"/>
  <c r="M27" i="10"/>
  <c r="Q25" i="10"/>
  <c r="P25" i="10"/>
  <c r="O25" i="10"/>
  <c r="N25" i="10"/>
  <c r="M25" i="10"/>
  <c r="Q20" i="10"/>
  <c r="P20" i="10"/>
  <c r="O20" i="10"/>
  <c r="N20" i="10"/>
  <c r="I84" i="10"/>
  <c r="I86" i="10" s="1"/>
  <c r="K129" i="10"/>
  <c r="J129" i="10"/>
  <c r="I129" i="10"/>
  <c r="H129" i="10"/>
  <c r="G129" i="10"/>
  <c r="F129" i="10"/>
  <c r="F118" i="10"/>
  <c r="G118" i="10"/>
  <c r="H118" i="10"/>
  <c r="I118" i="10"/>
  <c r="J118" i="10"/>
  <c r="K118" i="10"/>
  <c r="F51" i="10"/>
  <c r="K67" i="10"/>
  <c r="J67" i="10"/>
  <c r="I67" i="10"/>
  <c r="H67" i="10"/>
  <c r="G67" i="10"/>
  <c r="F67" i="10"/>
  <c r="K43" i="10"/>
  <c r="J43" i="10"/>
  <c r="I43" i="10"/>
  <c r="H43" i="10"/>
  <c r="G43" i="10"/>
  <c r="F43" i="10"/>
  <c r="K65" i="10"/>
  <c r="J65" i="10"/>
  <c r="I65" i="10"/>
  <c r="H65" i="10"/>
  <c r="G65" i="10"/>
  <c r="F65" i="10"/>
  <c r="K63" i="10"/>
  <c r="J63" i="10"/>
  <c r="I63" i="10"/>
  <c r="H63" i="10"/>
  <c r="G63" i="10"/>
  <c r="F63" i="10"/>
  <c r="K61" i="10"/>
  <c r="J61" i="10"/>
  <c r="I61" i="10"/>
  <c r="H61" i="10"/>
  <c r="G61" i="10"/>
  <c r="F61" i="10"/>
  <c r="K59" i="10"/>
  <c r="J59" i="10"/>
  <c r="I59" i="10"/>
  <c r="H59" i="10"/>
  <c r="G59" i="10"/>
  <c r="F59" i="10"/>
  <c r="K41" i="10"/>
  <c r="J41" i="10"/>
  <c r="I41" i="10"/>
  <c r="H41" i="10"/>
  <c r="G41" i="10"/>
  <c r="F41" i="10"/>
  <c r="K88" i="10"/>
  <c r="J88" i="10"/>
  <c r="I88" i="10"/>
  <c r="H88" i="10"/>
  <c r="G88" i="10"/>
  <c r="F88" i="10"/>
  <c r="K78" i="10"/>
  <c r="J78" i="10"/>
  <c r="I78" i="10"/>
  <c r="H78" i="10"/>
  <c r="G78" i="10"/>
  <c r="F78" i="10"/>
  <c r="K34" i="10"/>
  <c r="J34" i="10"/>
  <c r="I34" i="10"/>
  <c r="H34" i="10"/>
  <c r="G34" i="10"/>
  <c r="F34" i="10"/>
  <c r="K32" i="10"/>
  <c r="J32" i="10"/>
  <c r="I32" i="10"/>
  <c r="H32" i="10"/>
  <c r="G32" i="10"/>
  <c r="F32" i="10"/>
  <c r="K29" i="10"/>
  <c r="J29" i="10"/>
  <c r="I29" i="10"/>
  <c r="H29" i="10"/>
  <c r="G29" i="10"/>
  <c r="F29" i="10"/>
  <c r="G84" i="10"/>
  <c r="U60" i="14" l="1"/>
  <c r="U143" i="14" s="1"/>
  <c r="V5" i="14"/>
  <c r="V60" i="14" s="1"/>
  <c r="V143" i="14" s="1"/>
  <c r="V164" i="14" s="1"/>
  <c r="Q146" i="14"/>
  <c r="R143" i="14"/>
  <c r="S128" i="14"/>
  <c r="S143" i="14" s="1"/>
  <c r="S119" i="12"/>
  <c r="P5" i="12"/>
  <c r="O53" i="12"/>
  <c r="O133" i="12" s="1"/>
  <c r="K92" i="10"/>
  <c r="F92" i="10"/>
  <c r="H92" i="10"/>
  <c r="I92" i="10"/>
  <c r="J92" i="10"/>
  <c r="C92" i="10"/>
  <c r="N92" i="10"/>
  <c r="M92" i="10"/>
  <c r="Q73" i="10"/>
  <c r="R73" i="10" s="1"/>
  <c r="G86" i="10"/>
  <c r="G92" i="10" s="1"/>
  <c r="L85" i="10"/>
  <c r="L116" i="10" s="1"/>
  <c r="R8" i="10"/>
  <c r="N5" i="10"/>
  <c r="O5" i="10" s="1"/>
  <c r="Q103" i="10"/>
  <c r="R103" i="10" s="1"/>
  <c r="L52" i="10"/>
  <c r="M52" i="10"/>
  <c r="C52" i="10"/>
  <c r="R90" i="10"/>
  <c r="Q70" i="10"/>
  <c r="R70" i="10" s="1"/>
  <c r="U70" i="10" s="1"/>
  <c r="R69" i="10"/>
  <c r="Q15" i="10"/>
  <c r="Q16" i="10" s="1"/>
  <c r="Q47" i="10"/>
  <c r="R47" i="10" s="1"/>
  <c r="R56" i="10"/>
  <c r="Q57" i="10"/>
  <c r="R57" i="10" s="1"/>
  <c r="U57" i="10" s="1"/>
  <c r="Q32" i="10"/>
  <c r="R32" i="10" s="1"/>
  <c r="U32" i="10" s="1"/>
  <c r="Q19" i="10"/>
  <c r="R19" i="10" s="1"/>
  <c r="S97" i="10"/>
  <c r="C74" i="10"/>
  <c r="F74" i="10"/>
  <c r="H74" i="10"/>
  <c r="I74" i="10"/>
  <c r="J74" i="10"/>
  <c r="K74" i="10"/>
  <c r="L74" i="10"/>
  <c r="M74" i="10"/>
  <c r="N74" i="10"/>
  <c r="O74" i="10"/>
  <c r="P74" i="10"/>
  <c r="G74" i="10"/>
  <c r="E123" i="10"/>
  <c r="R84" i="10"/>
  <c r="G68" i="11"/>
  <c r="H68" i="11" s="1"/>
  <c r="D61" i="10" s="1"/>
  <c r="E61" i="10" s="1"/>
  <c r="G99" i="11"/>
  <c r="H99" i="11" s="1"/>
  <c r="G71" i="11"/>
  <c r="H71" i="11" s="1"/>
  <c r="D63" i="10" s="1"/>
  <c r="E63" i="10" s="1"/>
  <c r="G50" i="11"/>
  <c r="H50" i="11" s="1"/>
  <c r="D81" i="10" s="1"/>
  <c r="E81" i="10" s="1"/>
  <c r="G13" i="11"/>
  <c r="H13" i="11" s="1"/>
  <c r="D7" i="10" s="1"/>
  <c r="E7" i="10" s="1"/>
  <c r="G59" i="11"/>
  <c r="H59" i="11" s="1"/>
  <c r="D41" i="10" s="1"/>
  <c r="E41" i="10" s="1"/>
  <c r="G56" i="11"/>
  <c r="H56" i="11" s="1"/>
  <c r="D88" i="10" s="1"/>
  <c r="E88" i="10" s="1"/>
  <c r="G20" i="11"/>
  <c r="H20" i="11" s="1"/>
  <c r="G65" i="11"/>
  <c r="H65" i="11" s="1"/>
  <c r="D59" i="10" s="1"/>
  <c r="E59" i="10" s="1"/>
  <c r="G62" i="11"/>
  <c r="H62" i="11" s="1"/>
  <c r="D57" i="10" s="1"/>
  <c r="G10" i="11"/>
  <c r="H10" i="11" s="1"/>
  <c r="E37" i="10"/>
  <c r="E34" i="10"/>
  <c r="E91" i="10"/>
  <c r="G86" i="11"/>
  <c r="H86" i="11" s="1"/>
  <c r="D70" i="10" s="1"/>
  <c r="E70" i="10" s="1"/>
  <c r="G35" i="11"/>
  <c r="H35" i="11" s="1"/>
  <c r="D29" i="10" s="1"/>
  <c r="E29" i="10" s="1"/>
  <c r="G80" i="11"/>
  <c r="H80" i="11" s="1"/>
  <c r="D67" i="10" s="1"/>
  <c r="E67" i="10" s="1"/>
  <c r="G32" i="11"/>
  <c r="H32" i="11" s="1"/>
  <c r="D27" i="10" s="1"/>
  <c r="E27" i="10" s="1"/>
  <c r="G90" i="11"/>
  <c r="H90" i="11" s="1"/>
  <c r="D48" i="10" s="1"/>
  <c r="E48" i="10" s="1"/>
  <c r="G38" i="11"/>
  <c r="H38" i="11" s="1"/>
  <c r="D32" i="10" s="1"/>
  <c r="E32" i="10" s="1"/>
  <c r="G83" i="11"/>
  <c r="H83" i="11" s="1"/>
  <c r="H147" i="11"/>
  <c r="G29" i="11"/>
  <c r="H29" i="11" s="1"/>
  <c r="G47" i="11"/>
  <c r="H47" i="11" s="1"/>
  <c r="D78" i="10" s="1"/>
  <c r="E78" i="10" s="1"/>
  <c r="G23" i="11"/>
  <c r="H23" i="11" s="1"/>
  <c r="E20" i="10" s="1"/>
  <c r="R61" i="10"/>
  <c r="U61" i="10" s="1"/>
  <c r="R81" i="10"/>
  <c r="U81" i="10" s="1"/>
  <c r="R41" i="10"/>
  <c r="U41" i="10" s="1"/>
  <c r="G77" i="11"/>
  <c r="H77" i="11" s="1"/>
  <c r="D43" i="10" s="1"/>
  <c r="E43" i="10" s="1"/>
  <c r="G96" i="11"/>
  <c r="H96" i="11" s="1"/>
  <c r="D73" i="10" s="1"/>
  <c r="G53" i="11"/>
  <c r="H53" i="11" s="1"/>
  <c r="D86" i="10" s="1"/>
  <c r="G26" i="11"/>
  <c r="H26" i="11" s="1"/>
  <c r="D25" i="10" s="1"/>
  <c r="E25" i="10" s="1"/>
  <c r="G7" i="11"/>
  <c r="H7" i="11" s="1"/>
  <c r="D5" i="10" s="1"/>
  <c r="G74" i="11"/>
  <c r="H74" i="11" s="1"/>
  <c r="D65" i="10" s="1"/>
  <c r="E65" i="10" s="1"/>
  <c r="G17" i="11"/>
  <c r="H17" i="11" s="1"/>
  <c r="D11" i="10" s="1"/>
  <c r="E11" i="10" s="1"/>
  <c r="H102" i="11"/>
  <c r="D51" i="10" s="1"/>
  <c r="H124" i="11"/>
  <c r="H117" i="11"/>
  <c r="H130" i="11"/>
  <c r="C103" i="11"/>
  <c r="C151" i="11" s="1"/>
  <c r="H136" i="11"/>
  <c r="D103" i="11"/>
  <c r="F103" i="11"/>
  <c r="E103" i="11"/>
  <c r="H111" i="11"/>
  <c r="R59" i="10"/>
  <c r="U59" i="10" s="1"/>
  <c r="R43" i="10"/>
  <c r="R88" i="10"/>
  <c r="U88" i="10" s="1"/>
  <c r="R67" i="10"/>
  <c r="U67" i="10" s="1"/>
  <c r="R65" i="10"/>
  <c r="U65" i="10" s="1"/>
  <c r="R29" i="10"/>
  <c r="U29" i="10" s="1"/>
  <c r="R78" i="10"/>
  <c r="U78" i="10" s="1"/>
  <c r="U37" i="10"/>
  <c r="R63" i="10"/>
  <c r="U63" i="10" s="1"/>
  <c r="R129" i="10"/>
  <c r="R51" i="10"/>
  <c r="U51" i="10" s="1"/>
  <c r="R34" i="10"/>
  <c r="U34" i="10" s="1"/>
  <c r="K27" i="10"/>
  <c r="J27" i="10"/>
  <c r="I27" i="10"/>
  <c r="H27" i="10"/>
  <c r="G27" i="10"/>
  <c r="F27" i="10"/>
  <c r="J25" i="10"/>
  <c r="I25" i="10"/>
  <c r="H25" i="10"/>
  <c r="G25" i="10"/>
  <c r="F25" i="10"/>
  <c r="K20" i="10"/>
  <c r="J20" i="10"/>
  <c r="I20" i="10"/>
  <c r="H20" i="10"/>
  <c r="G20" i="10"/>
  <c r="F20" i="10"/>
  <c r="K7" i="10"/>
  <c r="J7" i="10"/>
  <c r="I7" i="10"/>
  <c r="H7" i="10"/>
  <c r="G7" i="10"/>
  <c r="F7" i="10"/>
  <c r="F5" i="10"/>
  <c r="G5" i="10"/>
  <c r="H5" i="10"/>
  <c r="I5" i="10"/>
  <c r="L79" i="9"/>
  <c r="L61" i="9"/>
  <c r="L80" i="9"/>
  <c r="L75" i="9"/>
  <c r="B73" i="9"/>
  <c r="L76" i="9"/>
  <c r="L63" i="9"/>
  <c r="L58" i="9"/>
  <c r="L53" i="9"/>
  <c r="B46" i="9"/>
  <c r="B47" i="9" s="1"/>
  <c r="Q40" i="9"/>
  <c r="C39" i="9"/>
  <c r="C82" i="9" s="1"/>
  <c r="L36" i="9"/>
  <c r="K36" i="9"/>
  <c r="L35" i="9"/>
  <c r="K35" i="9"/>
  <c r="K34" i="9"/>
  <c r="L33" i="9"/>
  <c r="K33" i="9"/>
  <c r="L32" i="9"/>
  <c r="K32" i="9"/>
  <c r="L31" i="9"/>
  <c r="K31" i="9"/>
  <c r="L30" i="9"/>
  <c r="K30" i="9"/>
  <c r="L28" i="9"/>
  <c r="K28" i="9"/>
  <c r="K26" i="9"/>
  <c r="K25" i="9"/>
  <c r="L25" i="9"/>
  <c r="L24" i="9"/>
  <c r="K24" i="9"/>
  <c r="K23" i="9"/>
  <c r="L22" i="9"/>
  <c r="K22" i="9"/>
  <c r="K21" i="9"/>
  <c r="L20" i="9"/>
  <c r="K20" i="9"/>
  <c r="K19" i="9"/>
  <c r="L19" i="9"/>
  <c r="L17" i="9"/>
  <c r="K17" i="9"/>
  <c r="Q16" i="9"/>
  <c r="Q2" i="9" s="1"/>
  <c r="K16" i="9"/>
  <c r="L16" i="9"/>
  <c r="K15" i="9"/>
  <c r="K14" i="9"/>
  <c r="K13" i="9"/>
  <c r="L13" i="9"/>
  <c r="L12" i="9"/>
  <c r="K12" i="9"/>
  <c r="L11" i="9"/>
  <c r="K11" i="9"/>
  <c r="L10" i="9"/>
  <c r="K10" i="9"/>
  <c r="L9" i="9"/>
  <c r="K9" i="9"/>
  <c r="L8" i="9"/>
  <c r="K8" i="9"/>
  <c r="L7" i="9"/>
  <c r="K7" i="9"/>
  <c r="L6" i="9"/>
  <c r="K6" i="9"/>
  <c r="M39" i="6"/>
  <c r="M2" i="6"/>
  <c r="M16" i="6"/>
  <c r="I5" i="6"/>
  <c r="G6" i="6"/>
  <c r="K6" i="6"/>
  <c r="O164" i="14" l="1"/>
  <c r="D178" i="14" s="1"/>
  <c r="E178" i="14" s="1"/>
  <c r="U145" i="14"/>
  <c r="Q152" i="14"/>
  <c r="R152" i="14" s="1"/>
  <c r="C183" i="17"/>
  <c r="C184" i="17" s="1"/>
  <c r="C188" i="17" s="1"/>
  <c r="O165" i="14"/>
  <c r="O166" i="14" s="1"/>
  <c r="O169" i="14" s="1"/>
  <c r="V165" i="14"/>
  <c r="V166" i="14" s="1"/>
  <c r="Q5" i="12"/>
  <c r="P53" i="12"/>
  <c r="P133" i="12" s="1"/>
  <c r="D92" i="10"/>
  <c r="M131" i="10"/>
  <c r="Q85" i="10"/>
  <c r="R85" i="10" s="1"/>
  <c r="L86" i="10"/>
  <c r="L92" i="10" s="1"/>
  <c r="N52" i="10"/>
  <c r="N131" i="10" s="1"/>
  <c r="P5" i="10"/>
  <c r="O52" i="10"/>
  <c r="O131" i="10" s="1"/>
  <c r="Q104" i="10"/>
  <c r="Q48" i="10"/>
  <c r="R48" i="10" s="1"/>
  <c r="S48" i="10" s="1"/>
  <c r="F52" i="10"/>
  <c r="F131" i="10" s="1"/>
  <c r="F137" i="10" s="1"/>
  <c r="R15" i="10"/>
  <c r="D52" i="10"/>
  <c r="J52" i="10"/>
  <c r="J131" i="10" s="1"/>
  <c r="K52" i="10"/>
  <c r="K131" i="10" s="1"/>
  <c r="I52" i="10"/>
  <c r="I131" i="10" s="1"/>
  <c r="H52" i="10"/>
  <c r="H131" i="10" s="1"/>
  <c r="G52" i="10"/>
  <c r="G131" i="10" s="1"/>
  <c r="Q74" i="10"/>
  <c r="C131" i="10"/>
  <c r="S129" i="10"/>
  <c r="U74" i="10"/>
  <c r="E57" i="10"/>
  <c r="S57" i="10" s="1"/>
  <c r="D74" i="10"/>
  <c r="E5" i="10"/>
  <c r="R74" i="10"/>
  <c r="E73" i="10"/>
  <c r="S123" i="10"/>
  <c r="S37" i="10"/>
  <c r="N4" i="10"/>
  <c r="E51" i="10"/>
  <c r="S61" i="10"/>
  <c r="S63" i="10"/>
  <c r="S34" i="10"/>
  <c r="S43" i="10"/>
  <c r="S88" i="10"/>
  <c r="S41" i="10"/>
  <c r="S91" i="10"/>
  <c r="S59" i="10"/>
  <c r="S78" i="10"/>
  <c r="S65" i="10"/>
  <c r="S32" i="10"/>
  <c r="S29" i="10"/>
  <c r="S81" i="10"/>
  <c r="S67" i="10"/>
  <c r="S70" i="10"/>
  <c r="E86" i="10"/>
  <c r="E92" i="10" s="1"/>
  <c r="R20" i="10"/>
  <c r="U20" i="10" s="1"/>
  <c r="R11" i="10"/>
  <c r="U11" i="10" s="1"/>
  <c r="G103" i="11"/>
  <c r="H103" i="11" s="1"/>
  <c r="R27" i="10"/>
  <c r="U27" i="10" s="1"/>
  <c r="R7" i="10"/>
  <c r="U7" i="10" s="1"/>
  <c r="S113" i="10"/>
  <c r="R16" i="10"/>
  <c r="U16" i="10" s="1"/>
  <c r="R25" i="10"/>
  <c r="U25" i="10" s="1"/>
  <c r="K29" i="9"/>
  <c r="L29" i="9"/>
  <c r="K27" i="9"/>
  <c r="L27" i="9"/>
  <c r="K18" i="9"/>
  <c r="L18" i="9"/>
  <c r="L21" i="9"/>
  <c r="L34" i="9"/>
  <c r="L14" i="9"/>
  <c r="L26" i="9"/>
  <c r="L15" i="9"/>
  <c r="L23" i="9"/>
  <c r="L5" i="9"/>
  <c r="G72" i="6"/>
  <c r="G71" i="6"/>
  <c r="K35" i="6"/>
  <c r="I36" i="6"/>
  <c r="F27" i="6"/>
  <c r="G27" i="6" s="1"/>
  <c r="I19" i="6"/>
  <c r="F19" i="6"/>
  <c r="F18" i="6"/>
  <c r="G18" i="6" s="1"/>
  <c r="I18" i="6" s="1"/>
  <c r="K11" i="6"/>
  <c r="L6" i="6"/>
  <c r="F10" i="6"/>
  <c r="G10" i="6" s="1"/>
  <c r="K10" i="6" s="1"/>
  <c r="L10" i="6"/>
  <c r="L22" i="6"/>
  <c r="G22" i="6"/>
  <c r="K22" i="6" s="1"/>
  <c r="F8" i="6"/>
  <c r="G8" i="6" s="1"/>
  <c r="K8" i="6" s="1"/>
  <c r="K19" i="6"/>
  <c r="K9" i="6"/>
  <c r="L75" i="6"/>
  <c r="L72" i="6"/>
  <c r="L62" i="6"/>
  <c r="L58" i="6"/>
  <c r="L54" i="6"/>
  <c r="L49" i="6"/>
  <c r="C38" i="6"/>
  <c r="C77" i="6" s="1"/>
  <c r="F34" i="6"/>
  <c r="G34" i="6" s="1"/>
  <c r="I34" i="6" s="1"/>
  <c r="B45" i="6"/>
  <c r="B46" i="6" s="1"/>
  <c r="G12" i="6"/>
  <c r="K12" i="6" s="1"/>
  <c r="L8" i="6"/>
  <c r="L11" i="6"/>
  <c r="L28" i="6"/>
  <c r="L30" i="6"/>
  <c r="L31" i="6"/>
  <c r="L9" i="6"/>
  <c r="L32" i="6"/>
  <c r="L35" i="6"/>
  <c r="L12" i="6"/>
  <c r="G55" i="6"/>
  <c r="G51" i="6"/>
  <c r="B70" i="6"/>
  <c r="G63" i="6" s="1"/>
  <c r="F36" i="6"/>
  <c r="G36" i="6" s="1"/>
  <c r="F5" i="6"/>
  <c r="G5" i="6" s="1"/>
  <c r="F21" i="6"/>
  <c r="G21" i="6" s="1"/>
  <c r="I21" i="6" s="1"/>
  <c r="F29" i="6"/>
  <c r="G29" i="6" s="1"/>
  <c r="I29" i="6" s="1"/>
  <c r="E38" i="6"/>
  <c r="E77" i="6" s="1"/>
  <c r="G32" i="6"/>
  <c r="K32" i="6" s="1"/>
  <c r="G31" i="6"/>
  <c r="K31" i="6" s="1"/>
  <c r="I44" i="6"/>
  <c r="I42" i="6"/>
  <c r="G30" i="6"/>
  <c r="K30" i="6" s="1"/>
  <c r="G28" i="6"/>
  <c r="K28" i="6" s="1"/>
  <c r="G26" i="6"/>
  <c r="I26" i="6" s="1"/>
  <c r="G33" i="6"/>
  <c r="G16" i="6"/>
  <c r="I16" i="6" s="1"/>
  <c r="G24" i="6"/>
  <c r="G13" i="6"/>
  <c r="I13" i="6" s="1"/>
  <c r="G25" i="6"/>
  <c r="I25" i="6" s="1"/>
  <c r="G17" i="6"/>
  <c r="G23" i="6"/>
  <c r="I23" i="6" s="1"/>
  <c r="G14" i="6"/>
  <c r="I14" i="6" s="1"/>
  <c r="F20" i="6"/>
  <c r="G20" i="6" s="1"/>
  <c r="G15" i="6"/>
  <c r="I15" i="6" s="1"/>
  <c r="G96" i="6"/>
  <c r="G74" i="1"/>
  <c r="I33" i="1"/>
  <c r="E141" i="17" l="1"/>
  <c r="X166" i="14"/>
  <c r="X169" i="14" s="1"/>
  <c r="Z169" i="14" s="1"/>
  <c r="V169" i="14"/>
  <c r="Q166" i="14"/>
  <c r="Q169" i="14" s="1"/>
  <c r="S169" i="14" s="1"/>
  <c r="Y2" i="14" s="1"/>
  <c r="Q53" i="12"/>
  <c r="Q133" i="12" s="1"/>
  <c r="Q137" i="12" s="1"/>
  <c r="R5" i="12"/>
  <c r="R104" i="10"/>
  <c r="S104" i="10" s="1"/>
  <c r="Q86" i="10"/>
  <c r="Q92" i="10" s="1"/>
  <c r="L118" i="10"/>
  <c r="R118" i="10" s="1"/>
  <c r="R116" i="10"/>
  <c r="S20" i="10"/>
  <c r="Q5" i="10"/>
  <c r="Q52" i="10" s="1"/>
  <c r="P52" i="10"/>
  <c r="P131" i="10" s="1"/>
  <c r="E52" i="10"/>
  <c r="R86" i="10"/>
  <c r="D131" i="10"/>
  <c r="S27" i="10"/>
  <c r="S25" i="10"/>
  <c r="S16" i="10"/>
  <c r="S7" i="10"/>
  <c r="S11" i="10"/>
  <c r="E74" i="10"/>
  <c r="S73" i="10"/>
  <c r="S51" i="10"/>
  <c r="O4" i="10"/>
  <c r="L39" i="9"/>
  <c r="K5" i="9"/>
  <c r="K39" i="9" s="1"/>
  <c r="I27" i="6"/>
  <c r="L27" i="6" s="1"/>
  <c r="K27" i="6"/>
  <c r="K14" i="6"/>
  <c r="K23" i="6"/>
  <c r="K26" i="6"/>
  <c r="K16" i="6"/>
  <c r="K20" i="6"/>
  <c r="K33" i="6"/>
  <c r="K15" i="6"/>
  <c r="K17" i="6"/>
  <c r="K34" i="6"/>
  <c r="K18" i="6"/>
  <c r="K29" i="6"/>
  <c r="K5" i="6"/>
  <c r="K24" i="6"/>
  <c r="K13" i="6"/>
  <c r="K36" i="6"/>
  <c r="K21" i="6"/>
  <c r="K25" i="6"/>
  <c r="K7" i="6"/>
  <c r="L5" i="6"/>
  <c r="L16" i="6"/>
  <c r="L24" i="6"/>
  <c r="L26" i="6"/>
  <c r="L33" i="6"/>
  <c r="L36" i="6"/>
  <c r="L17" i="6"/>
  <c r="L23" i="6"/>
  <c r="L20" i="6"/>
  <c r="L29" i="6"/>
  <c r="L14" i="6"/>
  <c r="L19" i="6"/>
  <c r="L34" i="6"/>
  <c r="L18" i="6"/>
  <c r="L15" i="6"/>
  <c r="L7" i="6"/>
  <c r="L13" i="6"/>
  <c r="L21" i="6"/>
  <c r="L25" i="6"/>
  <c r="I45" i="6"/>
  <c r="I46" i="6" s="1"/>
  <c r="G38" i="6"/>
  <c r="F38" i="6"/>
  <c r="F77" i="6" s="1"/>
  <c r="G33" i="1"/>
  <c r="F141" i="17" l="1"/>
  <c r="U5" i="12"/>
  <c r="U53" i="12" s="1"/>
  <c r="U133" i="12" s="1"/>
  <c r="L147" i="12" s="1"/>
  <c r="R53" i="12"/>
  <c r="R133" i="12" s="1"/>
  <c r="S5" i="12"/>
  <c r="S53" i="12" s="1"/>
  <c r="S133" i="12" s="1"/>
  <c r="L148" i="12" s="1"/>
  <c r="U86" i="10"/>
  <c r="U92" i="10" s="1"/>
  <c r="R92" i="10"/>
  <c r="S118" i="10"/>
  <c r="L131" i="10"/>
  <c r="Q131" i="10"/>
  <c r="S86" i="10"/>
  <c r="E131" i="10"/>
  <c r="S74" i="10"/>
  <c r="P4" i="10"/>
  <c r="L82" i="9"/>
  <c r="G77" i="6"/>
  <c r="G85" i="6" s="1"/>
  <c r="L38" i="6"/>
  <c r="I38" i="6"/>
  <c r="I77" i="6" s="1"/>
  <c r="K38" i="6"/>
  <c r="F142" i="17" l="1"/>
  <c r="F144" i="17" s="1"/>
  <c r="F147" i="17"/>
  <c r="G141" i="17"/>
  <c r="G142" i="17" s="1"/>
  <c r="G144" i="17" s="1"/>
  <c r="D161" i="12"/>
  <c r="E161" i="12" s="1"/>
  <c r="L149" i="12"/>
  <c r="S92" i="10"/>
  <c r="Q4" i="10"/>
  <c r="K94" i="9"/>
  <c r="G84" i="6"/>
  <c r="G86" i="6" s="1"/>
  <c r="G89" i="6" s="1"/>
  <c r="L77" i="6"/>
  <c r="H141" i="17" l="1"/>
  <c r="H142" i="17" s="1"/>
  <c r="H144" i="17" s="1"/>
  <c r="L152" i="12"/>
  <c r="N149" i="12"/>
  <c r="N152" i="12" s="1"/>
  <c r="P152" i="12" s="1"/>
  <c r="X2" i="12" s="1"/>
  <c r="R4" i="10"/>
  <c r="R5" i="10"/>
  <c r="I86" i="6"/>
  <c r="I89" i="6" s="1"/>
  <c r="K89" i="6" s="1"/>
  <c r="I141" i="17" l="1"/>
  <c r="I142" i="17" s="1"/>
  <c r="I144" i="17" s="1"/>
  <c r="R52" i="10"/>
  <c r="R131" i="10" s="1"/>
  <c r="U5" i="10"/>
  <c r="U52" i="10" s="1"/>
  <c r="U131" i="10" s="1"/>
  <c r="S5" i="10"/>
  <c r="J141" i="17" l="1"/>
  <c r="J142" i="17" s="1"/>
  <c r="J144" i="17" s="1"/>
  <c r="S52" i="10"/>
  <c r="K141" i="17" l="1"/>
  <c r="K142" i="17" s="1"/>
  <c r="K144" i="17" s="1"/>
  <c r="S131" i="10"/>
  <c r="L146" i="10" s="1"/>
  <c r="L145" i="10"/>
  <c r="L141" i="17" l="1"/>
  <c r="L142" i="17" s="1"/>
  <c r="L144" i="17" s="1"/>
  <c r="Y2" i="10"/>
  <c r="D159" i="10"/>
  <c r="E159" i="10" s="1"/>
  <c r="L147" i="10"/>
  <c r="N147" i="10" s="1"/>
  <c r="N150" i="10" s="1"/>
  <c r="P150" i="10" s="1"/>
  <c r="M141" i="17" l="1"/>
  <c r="M142" i="17" s="1"/>
  <c r="M144" i="17" s="1"/>
  <c r="L150" i="10"/>
  <c r="N141" i="17" l="1"/>
  <c r="N142" i="17" s="1"/>
  <c r="N144" i="17" s="1"/>
  <c r="O141" i="17" l="1"/>
  <c r="O142" i="17" s="1"/>
  <c r="O144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Hedges</author>
    <author>tc={C2AF521D-2FBB-4372-BAA1-8BBAC584D9BC}</author>
    <author>tc={BC55A547-E5BF-499A-A89B-FA3F3B59F21B}</author>
    <author>tc={ADEFE066-2BBA-4D32-A09D-B71E3ADCACCE}</author>
    <author>tc={A69F2695-4908-4887-935D-5C1D56D4F91F}</author>
    <author>tc={001C75D6-A75B-4EF5-96AB-3054332B2C62}</author>
  </authors>
  <commentList>
    <comment ref="P2" authorId="0" shapeId="0" xr:uid="{231913FE-F4C2-451E-AB81-3C1F157ABF4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Forecast of what we expect to carry forward to 2026/27.  We carried forward £27,455 from 2025/26.</t>
        </r>
      </text>
    </comment>
    <comment ref="R2" authorId="0" shapeId="0" xr:uid="{F3EC8D7D-3C1D-40F5-BA07-80DB1B32929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All negative amounts are overspends. Items in Red are overspends of more than £10.  </t>
        </r>
      </text>
    </comment>
    <comment ref="D4" authorId="0" shapeId="0" xr:uid="{70554F48-470A-4C44-9682-D68F7323DC9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£907.99 = £772.40+MS March £12.10+MS April £12.10+McAfee Sub £95.99+Fasthosts Domain £15.40</t>
        </r>
      </text>
    </comment>
    <comment ref="E4" authorId="0" shapeId="0" xr:uid="{B4B39C29-F833-4250-AEE2-1F2E2EBD864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Transfer £762.60+£12.10=£774.70 paid 13/05/26.</t>
        </r>
      </text>
    </comment>
    <comment ref="F4" authorId="0" shapeId="0" xr:uid="{48F8772E-ABD0-49B7-B36F-386FA380B7A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£762.60 paid on 03/06/26.  No expenses this month.</t>
        </r>
      </text>
    </comment>
    <comment ref="O4" authorId="0" shapeId="0" xr:uid="{2AD452C7-E3C4-406E-88FC-9D2CC25228C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This formula needs changing once the new pay settlement for Clerks has been reached.</t>
        </r>
      </text>
    </comment>
    <comment ref="Q4" authorId="0" shapeId="0" xr:uid="{857DDD37-AC22-4F36-9173-22CE0D61CFC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This formula needs changing once the new pay settlement for Clerks has been reached.</t>
        </r>
      </text>
    </comment>
    <comment ref="D5" authorId="0" shapeId="0" xr:uid="{E53B5E31-0435-4161-BABC-8F1FBBCC874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£775.64 paid by Bank Transfer 15/04/26.</t>
        </r>
      </text>
    </comment>
    <comment ref="G5" authorId="0" shapeId="0" xr:uid="{F2CFFEE8-3CDC-43C4-AB80-0ABDECBC832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Estimate had been 775.64, but Westcotts advised it should be £804.84. It may rise higher once the Clerk's pay rise comes through, so I have estimated the remaining payments at £850. </t>
        </r>
      </text>
    </comment>
    <comment ref="D7" authorId="0" shapeId="0" xr:uid="{EEEC76C2-1B25-42F6-A90D-7E6D5284C2A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£7.00 Deducted from Bank Account 30/07/25</t>
        </r>
      </text>
    </comment>
    <comment ref="E7" authorId="0" shapeId="0" xr:uid="{FF21A34F-06EA-40AA-9C3E-19259862EED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Transfer £7, 31st May.</t>
        </r>
      </text>
    </comment>
    <comment ref="F7" authorId="0" shapeId="0" xr:uid="{785883DE-9E4F-425D-A53F-98DD747F59A1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Bank Charge paid 30/06/26.</t>
        </r>
      </text>
    </comment>
    <comment ref="D8" authorId="0" shapeId="0" xr:uid="{7AB364C9-4738-4C99-A2F1-75B40529659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£50.00. 
Corporate Card fee for new card.  Deducted from Bank Account by Utility Bank 24/04/26.</t>
        </r>
      </text>
    </comment>
    <comment ref="F8" authorId="0" shapeId="0" xr:uid="{2FF8B904-D157-4329-AB67-B548016E03D8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Monthly Card fee of £3.00.  Paid 16/06/26.</t>
        </r>
      </text>
    </comment>
    <comment ref="D9" authorId="0" shapeId="0" xr:uid="{9D36CBCA-6356-4BD2-AE0D-BFF750DCD36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£907.99 = £772.40+MS March £12.10+MS April £12.10+McAfee Sub £95.99+Fasthosts Domain £15.40</t>
        </r>
      </text>
    </comment>
    <comment ref="E9" authorId="0" shapeId="0" xr:uid="{B044A217-737E-4370-A8F9-C182FBB11B6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Transfer £762.60+£12.10=£774.70 paid 13/05/26.</t>
        </r>
      </text>
    </comment>
    <comment ref="D10" authorId="0" shapeId="0" xr:uid="{6FA65F36-3083-4AF9-A75D-DA8F015734B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£353.33 Bank Transfer for Printer Ink to Simon Hedges, 15/04/26.</t>
        </r>
      </text>
    </comment>
    <comment ref="D13" authorId="0" shapeId="0" xr:uid="{487BAE3A-97FF-4356-9AA8-7FA5EA2C692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£907.99 = £772.40+MS March £12.10+MS April £12.10+McAfee Sub £95.99+Fasthosts Domain £15.40</t>
        </r>
      </text>
    </comment>
    <comment ref="B14" authorId="0" shapeId="0" xr:uid="{499C4B4C-1005-459B-95C7-458302B098F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There was no spend on this in 2025/26.  If it doesn't appear in 2026/27, then remove from budget for subsequent years.
</t>
        </r>
      </text>
    </comment>
    <comment ref="J14" authorId="0" shapeId="0" xr:uid="{D6899CDB-44CC-43BC-825E-F789E06E43F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There was no spend on this in 2025/26.  If it doesn't appear in 2026/27, then remove from budget for subsequent years.
</t>
        </r>
      </text>
    </comment>
    <comment ref="B15" authorId="0" shapeId="0" xr:uid="{C2BBEE3C-C955-472C-922F-B07C73670E7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There was no spend on this in 2025/26.  If it doesn't appear in 2026/27, then remove from budget for subsequent years.
</t>
        </r>
      </text>
    </comment>
    <comment ref="D16" authorId="0" shapeId="0" xr:uid="{119C12FE-C233-4F2C-87CF-3331BC6DEDB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£907.99 = £772.40+MS March £12.10+MS April £12.10+McAfee Sub £95.99+Fasthosts Domain £15.40</t>
        </r>
      </text>
    </comment>
    <comment ref="B18" authorId="0" shapeId="0" xr:uid="{43F6A720-51CF-4491-9E33-691F07619D1E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Added part way through 26/27.</t>
        </r>
      </text>
    </comment>
    <comment ref="B20" authorId="0" shapeId="0" xr:uid="{4A7A9FBB-85E2-4EE2-8981-3B8CEB84DC3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This is the amount reclaimed in year, plus any amount reclaimed for expenditure in the previous financial year.</t>
        </r>
      </text>
    </comment>
    <comment ref="J21" authorId="0" shapeId="0" xr:uid="{E247A3C3-3FC2-4E07-89DE-F9D8C4653FD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taken from 30 Sep Payslip was £772.40.  Reconciliation is £814.08 (presumably the difference is the allowances)</t>
        </r>
      </text>
    </comment>
    <comment ref="B22" authorId="1" shapeId="0" xr:uid="{C2AF521D-2FBB-4372-BAA1-8BBAC584D9BC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F22" authorId="0" shapeId="0" xr:uid="{B09A02FC-CE4B-4E62-8A62-EC31E6A77D6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Direct Debit £47.00, 17/06/26.</t>
        </r>
      </text>
    </comment>
    <comment ref="D23" authorId="0" shapeId="0" xr:uid="{20D1DD69-DDF7-4DC6-BD34-1293C4BF854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Much higher than original estimate.  £703.44 Paid by Bank Transfer on 15/04/26.
The original estimate of £168 was based on the previous year's payment, but we joined part way through the year, so it wasn't a full sub.</t>
        </r>
      </text>
    </comment>
    <comment ref="A25" authorId="0" shapeId="0" xr:uid="{F67DF090-C3AF-41D2-BC9C-3592C022970D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sure if VAT included (hence Blue)</t>
        </r>
      </text>
    </comment>
    <comment ref="B25" authorId="0" shapeId="0" xr:uid="{CAFB5733-530F-4762-98AF-FA0688A1D16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Payment made in 25/26
</t>
        </r>
      </text>
    </comment>
    <comment ref="B26" authorId="0" shapeId="0" xr:uid="{89BCAAF2-E0AB-4259-9301-EC9743C2A70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payment made in 2025/26</t>
        </r>
      </text>
    </comment>
    <comment ref="B27" authorId="2" shapeId="0" xr:uid="{BC55A547-E5BF-499A-A89B-FA3F3B59F21B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A31" authorId="0" shapeId="0" xr:uid="{A8D7D64E-8C1D-4C69-95A2-2F3F9D93943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VAT paid (hence green)</t>
        </r>
      </text>
    </comment>
    <comment ref="F31" authorId="0" shapeId="0" xr:uid="{ABB7485A-A0EC-40D4-8323-DB706E9588B2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£953.79, agreed with Zurich for a 3 year contract with this payment made each year.
£953.79 paid 03/06/26.</t>
        </r>
      </text>
    </comment>
    <comment ref="D33" authorId="0" shapeId="0" xr:uid="{9822DF5D-633A-436B-A0F5-B04B491C975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Direct Debit to Westcotts £30.00 on 24/04/26.</t>
        </r>
      </text>
    </comment>
    <comment ref="E33" authorId="0" shapeId="0" xr:uid="{44EF0E6A-228A-458D-B87E-D7D460139C1B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DD 26/05/25, £36.00</t>
        </r>
      </text>
    </comment>
    <comment ref="F33" authorId="0" shapeId="0" xr:uid="{E7DBF8A3-F701-4864-9BC0-8A5C4A967890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Direct Debit paid 24/06/26.</t>
        </r>
      </text>
    </comment>
    <comment ref="E36" authorId="0" shapeId="0" xr:uid="{BEA0E0FC-5AD4-41C3-9C40-0C1956670A04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£103, Penny Clapham, 13/05/26</t>
        </r>
      </text>
    </comment>
    <comment ref="J40" authorId="0" shapeId="0" xr:uid="{119645F3-03CA-46D2-A14B-30D90AA4D410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Lease due to R.E.C. for £10 on 29th September</t>
        </r>
      </text>
    </comment>
    <comment ref="H46" authorId="0" shapeId="0" xr:uid="{3AE254C5-DF21-4C94-AEB7-4BC22BB7C021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Invoice received from Academic Facilities Services Ltd in June.</t>
        </r>
      </text>
    </comment>
    <comment ref="J59" authorId="0" shapeId="0" xr:uid="{5089770D-71C8-4993-ABA0-1F192007EC88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Honorarium for 2026/27.  Paid a couple of months earlier than last year in order to beat the budget setting meeting in November.</t>
        </r>
      </text>
    </comment>
    <comment ref="D65" authorId="0" shapeId="0" xr:uid="{782FBE1D-5FD5-434B-9596-AEF79500240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£520, paid by Bank Transfer on 15/04/26.</t>
        </r>
      </text>
    </comment>
    <comment ref="D72" authorId="0" shapeId="0" xr:uid="{63B25843-9B33-459F-BCFC-ADC94A00C2D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£18.64 Eon Next paid by Bank Transfer on 15/04/26.  Due to be refunded by SFC
</t>
        </r>
      </text>
    </comment>
    <comment ref="E72" authorId="0" shapeId="0" xr:uid="{507F2BEF-8145-4049-9C53-6A6B24304CAC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£17.78, bank transfer on 13/05/26.</t>
        </r>
      </text>
    </comment>
    <comment ref="E73" authorId="0" shapeId="0" xr:uid="{B153565F-4E35-4B70-A194-2DD1E27B103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Received on SYFC, £77.46, refund on 14/05/26 for amounts paid as follows:    
Jan26 - £23.62 - paid in Feb
Feb26 - £17.42 - paid in Mar
Mar26 – 18.64 - paid in Apr
Apr26 - £17.78 - paid in May
Note that the first 3 were refunds for the amount paid in the previous financial year (totalling £59.68).  This means if we catchup this year, we will have a net refund in the year of £59.68.
</t>
        </r>
      </text>
    </comment>
    <comment ref="O73" authorId="0" shapeId="0" xr:uid="{C1B756BF-A361-4D03-88A6-6365F8DF786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Revise formula in March 2027 if there is a payment received from SYFC in March.</t>
        </r>
      </text>
    </comment>
    <comment ref="Z76" authorId="3" shapeId="0" xr:uid="{ADEFE066-2BBA-4D32-A09D-B71E3ADCACC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e-on for Landing Floodlights electric of £23.62 and £17.42, both on 04/03/26.</t>
      </text>
    </comment>
    <comment ref="D78" authorId="0" shapeId="0" xr:uid="{6CD18E11-154E-4E86-BBC4-3A23C9A4CEC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Transfer £673.00 to Denis Marsden.</t>
        </r>
      </text>
    </comment>
    <comment ref="E78" authorId="0" shapeId="0" xr:uid="{91FCB5D8-57E9-4EAF-83B6-A6C663981650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Bank Transfer £673 paid 13/05/26.</t>
        </r>
      </text>
    </comment>
    <comment ref="F78" authorId="0" shapeId="0" xr:uid="{E90D7AAA-094C-47C4-AE5E-B2E77E3BE9F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£673.00 paid by Bank Transfer on 03/06/26.</t>
        </r>
      </text>
    </comment>
    <comment ref="U84" authorId="0" shapeId="0" xr:uid="{CBBA200F-5E1C-4072-9B26-55DD2A23914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Big Rec Repairs are more expensive than anticipated.</t>
        </r>
      </text>
    </comment>
    <comment ref="D86" authorId="0" shapeId="0" xr:uid="{E16D37AF-B489-4C4B-94EB-DCAB0F75CE2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£994.54 paid by Bank Transfer on 15/04/26.</t>
        </r>
      </text>
    </comment>
    <comment ref="E86" authorId="0" shapeId="0" xr:uid="{993C2D53-68C3-44E5-B56F-72662087705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£994.54 bank transfer to Parsons 15/05/26.</t>
        </r>
      </text>
    </comment>
    <comment ref="O86" authorId="0" shapeId="0" xr:uid="{18D9E4DF-BF8C-4971-BCB7-FA493D143AA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Review formula when we get to March.</t>
        </r>
      </text>
    </comment>
    <comment ref="O98" authorId="0" shapeId="0" xr:uid="{E5CFF34A-2779-41ED-A4DB-5A49CAAF885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Paid early, in Feb 26 (£3500), so try to defer to Mar 27 to avoid paying twice in one year.  Also expect a high that inflation increase so for the 27/28 budget, allow a £4,000 budget.
</t>
        </r>
      </text>
    </comment>
    <comment ref="U98" authorId="0" shapeId="0" xr:uid="{5C3C8F67-A45F-4A6E-BCC3-416AA4B4C1ED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When asking for the increase for 25/26, the SEC indicated they may ask for an above inflation rise in 26/27.</t>
        </r>
      </text>
    </comment>
    <comment ref="G99" authorId="0" shapeId="0" xr:uid="{88552713-E697-4720-B74C-0FDC118DDC98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Flag Repair</t>
        </r>
      </text>
    </comment>
    <comment ref="U99" authorId="0" shapeId="0" xr:uid="{DB28A348-1638-4971-9688-9DF80E3F1593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Flag Pole Painting at £250.</t>
        </r>
      </text>
    </comment>
    <comment ref="B103" authorId="4" shapeId="0" xr:uid="{A69F2695-4908-4887-935D-5C1D56D4F91F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H105" authorId="0" shapeId="0" xr:uid="{B89CA7F8-42B4-4CF0-9007-B6B4EBC038E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Teign Trees</t>
        </r>
      </text>
    </comment>
    <comment ref="B112" authorId="5" shapeId="0" xr:uid="{001C75D6-A75B-4EF5-96AB-3054332B2C62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  <comment ref="W113" authorId="0" shapeId="0" xr:uid="{95424523-AB02-4C5B-81A4-F47AE168815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Improve Parish Council noticeboard by Little Rec</t>
        </r>
      </text>
    </comment>
    <comment ref="W114" authorId="0" shapeId="0" xr:uid="{3DEB3C25-84E1-4AA2-A1EF-82DFE95930BF}">
      <text>
        <r>
          <rPr>
            <sz val="9"/>
            <color indexed="81"/>
            <rFont val="Tahoma"/>
            <family val="2"/>
          </rPr>
          <t xml:space="preserve">Install Bench.  £170.00 quote from Denis.  No VAT applicable.
</t>
        </r>
      </text>
    </comment>
    <comment ref="P122" authorId="0" shapeId="0" xr:uid="{E73A4CB9-D75A-40BF-A299-A2AB0992DA7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There is no plan to actually spend this.  It is, instead, the contribution to reserves.</t>
        </r>
      </text>
    </comment>
    <comment ref="K126" authorId="0" shapeId="0" xr:uid="{DC4C6B31-3E4C-4E79-BF17-98CCFAA37490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We may get a DCC funded bus stop instead.</t>
        </r>
      </text>
    </comment>
    <comment ref="F133" authorId="0" shapeId="0" xr:uid="{BE10CA06-B28D-4D56-9510-D861B5027F9F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Added to account as interest on 30/06/26.</t>
        </r>
      </text>
    </comment>
    <comment ref="H133" authorId="0" shapeId="0" xr:uid="{2F1428EF-1F07-43C5-9520-CD89E075D9F8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Assumes for this and future months that the interest rate will drop by a fifth.</t>
        </r>
      </text>
    </comment>
    <comment ref="F143" authorId="0" shapeId="0" xr:uid="{57367F9D-8CBE-49DD-9E4F-2995741C7A1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02/07/25 transfer of £25,000 increasing total to £35,000.</t>
        </r>
      </text>
    </comment>
    <comment ref="H143" authorId="0" shapeId="0" xr:uid="{6893DC25-0AB3-4584-8219-BDE9C5120623}">
      <text>
        <r>
          <rPr>
            <b/>
            <sz val="9"/>
            <color indexed="81"/>
            <rFont val="Tahoma"/>
            <charset val="1"/>
          </rPr>
          <t>Simon Hedges:</t>
        </r>
        <r>
          <rPr>
            <sz val="9"/>
            <color indexed="81"/>
            <rFont val="Tahoma"/>
            <charset val="1"/>
          </rPr>
          <t xml:space="preserve">
Excludes likely interest of £80+ earned this month.  Future months also exclude likely interest to simply the forecast.</t>
        </r>
      </text>
    </comment>
    <comment ref="F154" authorId="0" shapeId="0" xr:uid="{A32106BB-BA67-4725-BF53-EAD70CBE150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Confirmed  as £ 54,760 and £68.05 from here https://www.middevon.gov.uk/residents/council-tax/council-tax-bandings-and-how-your-tax-is-spent/charges-for-202526/parish-precepts-202526/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tc={D37B52FA-2650-469F-8AA9-A987E70C6F0A}</author>
    <author>tc={BF81A05E-03B2-4B36-8FB9-2FB942A1B1B8}</author>
    <author>tc={984ACAD3-42DF-4F56-920A-96EB857517F0}</author>
    <author>tc={6C3185FD-C9DD-4753-A646-098EF79482CB}</author>
    <author>tc={C736C098-EBC2-4295-86BF-276118B6FA83}</author>
    <author>Simon Hedges</author>
    <author>tc={0F1A6C2D-9D5A-4229-8C9A-37736D42E107}</author>
    <author>tc={4EC01B61-364A-482A-AEED-D0C0B13BA421}</author>
    <author>tc={37E6A3A7-CF8A-4876-8B22-22D2C12347E7}</author>
    <author>tc={C4C60BF3-F8E2-48BD-80F5-77000CEB5567}</author>
    <author>tc={39C16795-FC6D-4459-AC35-E46A13B51D3A}</author>
    <author>tc={B44B69D8-F3FC-4737-9951-A876DAD553C0}</author>
    <author>tc={2276A2DE-477A-4774-AAD8-F9D4927FE931}</author>
  </authors>
  <commentList>
    <comment ref="F8" authorId="0" shapeId="0" xr:uid="{D37B52FA-2650-469F-8AA9-A987E70C6F0A}">
      <text>
        <t>[Threaded comment]
Your version of Excel allows you to read this threaded comment; however, any edits to it will get removed if the file is opened in a newer version of Excel. Learn more: https://go.microsoft.com/fwlink/?linkid=870924
Comment:
    3 month of budget, plus printer cost</t>
      </text>
    </comment>
    <comment ref="I8" authorId="1" shapeId="0" xr:uid="{BF81A05E-03B2-4B36-8FB9-2FB942A1B1B8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Excludes asterisked items which are included elsewhere.  So keep as per 2024/25 budget plus inflation.</t>
      </text>
    </comment>
    <comment ref="I10" authorId="2" shapeId="0" xr:uid="{984ACAD3-42DF-4F56-920A-96EB857517F0}">
      <text>
        <t>[Threaded comment]
Your version of Excel allows you to read this threaded comment; however, any edits to it will get removed if the file is opened in a newer version of Excel. Learn more: https://go.microsoft.com/fwlink/?linkid=870924
Comment:
    Don’t yet know the specific charges for our account.</t>
      </text>
    </comment>
    <comment ref="A11" authorId="3" shapeId="0" xr:uid="{6C3185FD-C9DD-4753-A646-098EF79482CB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F18" authorId="4" shapeId="0" xr:uid="{C736C098-EBC2-4295-86BF-276118B6FA83}">
      <text>
        <t>[Threaded comment]
Your version of Excel allows you to read this threaded comment; however, any edits to it will get removed if the file is opened in a newer version of Excel. Learn more: https://go.microsoft.com/fwlink/?linkid=870924
Comment:
    3 months at spend rate to end dec + 400 for Church Road Clearance</t>
      </text>
    </comment>
    <comment ref="I28" authorId="5" shapeId="0" xr:uid="{065408CB-E012-434F-995D-9F5B32EE4A8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Must always remain in, in case an election needs calling.</t>
        </r>
      </text>
    </comment>
    <comment ref="A30" authorId="6" shapeId="0" xr:uid="{0F1A6C2D-9D5A-4229-8C9A-37736D42E10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was named CLT Forum.  Is there a reason that this is in this section of the budget, rather than the “Funds” section below?</t>
      </text>
    </comment>
    <comment ref="I31" authorId="7" shapeId="0" xr:uid="{4EC01B61-364A-482A-AEED-D0C0B13BA421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 to £500 as no spend in 2024/25</t>
      </text>
    </comment>
    <comment ref="F32" authorId="8" shapeId="0" xr:uid="{37E6A3A7-CF8A-4876-8B22-22D2C12347E7}">
      <text>
        <t>[Threaded comment]
Your version of Excel allows you to read this threaded comment; however, any edits to it will get removed if the file is opened in a newer version of Excel. Learn more: https://go.microsoft.com/fwlink/?linkid=870924
Comment:
    Play Area ROSPA Repairs</t>
      </text>
    </comment>
    <comment ref="A49" authorId="9" shapeId="0" xr:uid="{C4C60BF3-F8E2-48BD-80F5-77000CEB5567}">
      <text>
        <t>[Threaded comment]
Your version of Excel allows you to read this threaded comment; however, any edits to it will get removed if the file is opened in a newer version of Excel. Learn more: https://go.microsoft.com/fwlink/?linkid=870924
Comment:
    Community activities and cohesion, including the growth of social activities in the parish, encouraging volunteering.</t>
      </text>
    </comment>
    <comment ref="I49" authorId="10" shapeId="0" xr:uid="{39C16795-FC6D-4459-AC35-E46A13B51D3A}">
      <text>
        <t>[Threaded comment]
Your version of Excel allows you to read this threaded comment; however, any edits to it will get removed if the file is opened in a newer version of Excel. Learn more: https://go.microsoft.com/fwlink/?linkid=870924
Comment:
    Increase, as we are spending a good proportion of this budget on the Social worker, and we may need to spend more in 2025/26 to encourage more community activity and volunteering in the parish.</t>
      </text>
    </comment>
    <comment ref="A54" authorId="11" shapeId="0" xr:uid="{B44B69D8-F3FC-4737-9951-A876DAD553C0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A58" authorId="12" shapeId="0" xr:uid="{2276A2DE-477A-4774-AAD8-F9D4927FE931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  <comment ref="B70" authorId="5" shapeId="0" xr:uid="{FF65B0AC-A41C-434E-95BD-3993ACF65FF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Doesn't match the £4187.58 in the wording.</t>
        </r>
      </text>
    </comment>
    <comment ref="E71" authorId="5" shapeId="0" xr:uid="{B7E3055E-A14C-4203-BB75-DF5F7594FD6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Should ths not be part of the Community Fund?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tc={92DEC327-DF72-4D4C-AE05-CC3C43042532}</author>
    <author>tc={74CB683E-5ECF-4D9E-BFD5-11C86CF227AF}</author>
    <author>tc={43110B68-781D-449E-B0B0-E2A3456FBFA1}</author>
    <author>tc={A8617DB8-080F-478E-A5C0-8F40C6F6B03F}</author>
    <author>tc={E3FE0CEB-4CF4-4BFD-84B3-5DAA6877C0C3}</author>
    <author>Simon Hedges</author>
    <author>tc={C4245366-BE61-4955-BC19-B218DC7B6B52}</author>
    <author>tc={3BB01ADA-679E-4A90-95CD-2A5479C8F53C}</author>
    <author>tc={C1FC2C34-F74F-45EB-8473-91FD6804ECB0}</author>
    <author>tc={B35B9CA0-1B41-45E1-8322-BCF58FF1C9CD}</author>
    <author>tc={1782196A-0054-4DAC-A16B-0445999F52D2}</author>
    <author>tc={C3C882F3-E49F-47D9-B589-A42F05B1EEBE}</author>
    <author>tc={F1558F6A-FB06-417C-99DE-1B7D19782191}</author>
  </authors>
  <commentList>
    <comment ref="F8" authorId="0" shapeId="0" xr:uid="{92DEC327-DF72-4D4C-AE05-CC3C43042532}">
      <text>
        <t>[Threaded comment]
Your version of Excel allows you to read this threaded comment; however, any edits to it will get removed if the file is opened in a newer version of Excel. Learn more: https://go.microsoft.com/fwlink/?linkid=870924
Comment:
    3 month of budget, plus printer cost</t>
      </text>
    </comment>
    <comment ref="I8" authorId="1" shapeId="0" xr:uid="{74CB683E-5ECF-4D9E-BFD5-11C86CF227AF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Excludes asterisked items which are included elsewhere.  So keep as per 2024/25 budget plus inflation.</t>
      </text>
    </comment>
    <comment ref="I10" authorId="2" shapeId="0" xr:uid="{43110B68-781D-449E-B0B0-E2A3456FBFA1}">
      <text>
        <t>[Threaded comment]
Your version of Excel allows you to read this threaded comment; however, any edits to it will get removed if the file is opened in a newer version of Excel. Learn more: https://go.microsoft.com/fwlink/?linkid=870924
Comment:
    Don’t yet know the specific charges for our account.</t>
      </text>
    </comment>
    <comment ref="A11" authorId="3" shapeId="0" xr:uid="{A8617DB8-080F-478E-A5C0-8F40C6F6B03F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F18" authorId="4" shapeId="0" xr:uid="{E3FE0CEB-4CF4-4BFD-84B3-5DAA6877C0C3}">
      <text>
        <t>[Threaded comment]
Your version of Excel allows you to read this threaded comment; however, any edits to it will get removed if the file is opened in a newer version of Excel. Learn more: https://go.microsoft.com/fwlink/?linkid=870924
Comment:
    3 months at spend rate to end dec + 400 for Church Road Clearance</t>
      </text>
    </comment>
    <comment ref="I28" authorId="5" shapeId="0" xr:uid="{88AB7CA2-CBE3-4A54-934B-768D5220739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Must always remain in, in case an election needs calling.</t>
        </r>
      </text>
    </comment>
    <comment ref="A30" authorId="6" shapeId="0" xr:uid="{C4245366-BE61-4955-BC19-B218DC7B6B5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was named CLT Forum.  Is there a reason that this is in this section of the budget, rather than the “Funds” section below?</t>
      </text>
    </comment>
    <comment ref="I31" authorId="7" shapeId="0" xr:uid="{3BB01ADA-679E-4A90-95CD-2A5479C8F53C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 to £500 as no spend in 2024/25</t>
      </text>
    </comment>
    <comment ref="F32" authorId="8" shapeId="0" xr:uid="{C1FC2C34-F74F-45EB-8473-91FD6804ECB0}">
      <text>
        <t>[Threaded comment]
Your version of Excel allows you to read this threaded comment; however, any edits to it will get removed if the file is opened in a newer version of Excel. Learn more: https://go.microsoft.com/fwlink/?linkid=870924
Comment:
    Play Area ROSPA Repairs</t>
      </text>
    </comment>
    <comment ref="A50" authorId="9" shapeId="0" xr:uid="{B35B9CA0-1B41-45E1-8322-BCF58FF1C9CD}">
      <text>
        <t>[Threaded comment]
Your version of Excel allows you to read this threaded comment; however, any edits to it will get removed if the file is opened in a newer version of Excel. Learn more: https://go.microsoft.com/fwlink/?linkid=870924
Comment:
    Community activities and cohesion, including the growth of social activities in the parish, encouraging volunteering.</t>
      </text>
    </comment>
    <comment ref="I53" authorId="10" shapeId="0" xr:uid="{1782196A-0054-4DAC-A16B-0445999F52D2}">
      <text>
        <t>[Threaded comment]
Your version of Excel allows you to read this threaded comment; however, any edits to it will get removed if the file is opened in a newer version of Excel. Learn more: https://go.microsoft.com/fwlink/?linkid=870924
Comment:
    Increase, as we are spending a good proportion of this budget on the Social worker, and we may need to spend more in 2025/26 to encourage more community activity and volunteering in the parish.</t>
      </text>
    </comment>
    <comment ref="A56" authorId="11" shapeId="0" xr:uid="{C3C882F3-E49F-47D9-B589-A42F05B1EEBE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A61" authorId="12" shapeId="0" xr:uid="{F1558F6A-FB06-417C-99DE-1B7D19782191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  <comment ref="B73" authorId="5" shapeId="0" xr:uid="{F13BCC82-6AF3-46FF-8DBC-38B5BCE4419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Doesn't match the £4187.58 in the wording.</t>
        </r>
      </text>
    </comment>
    <comment ref="E74" authorId="5" shapeId="0" xr:uid="{22395F44-4C0B-4628-AF4C-C8105BA8859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Should ths not be part of the Community Fund?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tc={58E18842-D4C9-4737-A408-934B83BD907B}</author>
    <author>tc={071FF7D2-8ECC-49E8-B17F-B97903C2E76D}</author>
    <author>tc={6AC7D582-86C1-43CA-B12B-E75A0990E9E5}</author>
    <author>tc={8B61BE6A-8C1E-47DD-96F5-A0F0F815C2CD}</author>
    <author>tc={764D4041-8ED4-45AD-AFF6-62CBBF237150}</author>
    <author>tc={394EDB9B-0230-497E-98DA-DD334B3325CB}</author>
    <author>tc={19E3CA50-DE93-4812-8674-42BD66C3F13E}</author>
    <author>tc={AFB1067B-985B-44EF-92B4-E6FA97DDFE35}</author>
  </authors>
  <commentList>
    <comment ref="B24" authorId="0" shapeId="0" xr:uid="{58E18842-D4C9-4737-A408-934B83BD907B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B25" authorId="1" shapeId="0" xr:uid="{071FF7D2-8ECC-49E8-B17F-B97903C2E76D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B26" authorId="2" shapeId="0" xr:uid="{6AC7D582-86C1-43CA-B12B-E75A0990E9E5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B81" authorId="3" shapeId="0" xr:uid="{8B61BE6A-8C1E-47DD-96F5-A0F0F815C2CD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was named CLT Forum.  Is there a reason that this is in this section of the budget, rather than the “Funds” section below?</t>
      </text>
    </comment>
    <comment ref="B82" authorId="4" shapeId="0" xr:uid="{764D4041-8ED4-45AD-AFF6-62CBBF237150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was named CLT Forum.  Is there a reason that this is in this section of the budget, rather than the “Funds” section below?</t>
      </text>
    </comment>
    <comment ref="B83" authorId="5" shapeId="0" xr:uid="{394EDB9B-0230-497E-98DA-DD334B3325CB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was named CLT Forum.  Is there a reason that this is in this section of the budget, rather than the “Funds” section below?</t>
      </text>
    </comment>
    <comment ref="B114" authorId="6" shapeId="0" xr:uid="{19E3CA50-DE93-4812-8674-42BD66C3F13E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B120" authorId="7" shapeId="0" xr:uid="{AFB1067B-985B-44EF-92B4-E6FA97DDFE35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Hedges</author>
    <author>tc={98383598-7B9D-49E7-9168-A45AA40BACB3}</author>
    <author>tc={C726BA2B-CBA3-4AC7-BBA2-7AFFABB89769}</author>
    <author>tc={952DC61D-19A3-4D5F-8E71-B21AC52A4FB1}</author>
    <author>tc={BA40BEFC-3DEE-4520-9F3D-A2A626B28800}</author>
    <author>tc={56CC8D4E-AE60-4B53-9B41-96987B166A65}</author>
    <author>tc={2A30FFE0-79B9-4230-99B8-C55CAA761DDC}</author>
    <author>tc={83108D9E-0ED8-43FD-BBB1-69327CB6F98B}</author>
    <author>tc={561A3241-86BC-4780-B665-F2EF0585F49A}</author>
    <author>tc={92DE2F4F-FF31-4F37-AF3C-2232622999B3}</author>
    <author>tc={0C14AFB9-3F0D-47D2-A6B9-8416105F4AB7}</author>
    <author>tc={CCA16A6D-F957-41B2-BF15-612CF20E8B03}</author>
    <author>tc={A3DAE065-3787-44CC-BC81-D55543A33360}</author>
    <author>tc={9E8A3F93-1E73-48F4-AAE2-75B0EBA366A6}</author>
    <author>tc={A8A81233-81FD-4821-9C19-ECF007265E34}</author>
    <author>tc={2A8C268C-ED9F-43A7-B08A-61644ED25602}</author>
    <author>tc={58967E0B-0743-417F-B509-967FA4E9B6C7}</author>
    <author>tc={1E97EE8A-F873-43D3-831E-CC64959F97FB}</author>
    <author>tc={6B6D9848-3F28-4DBD-9D4A-98E7719710BC}</author>
    <author>tc={FEE4E79B-8093-455D-8F1B-B9612D2044D8}</author>
    <author>tc={6CF98485-4D93-4E92-84ED-932E68E19EAB}</author>
    <author>tc={7B23990C-101B-4D49-B56F-46A952407295}</author>
    <author>tc={183C48F3-DA67-4A76-AC85-ECDB9D308570}</author>
    <author>tc={5AFBD7F1-32BD-4484-8736-4766576AD87F}</author>
    <author>tc={7133B168-E600-451F-A406-1168703F90C1}</author>
    <author>tc={4C4F9884-42FC-4B06-A822-13F5E1A88C87}</author>
    <author>tc={FEC8E155-9A90-4621-9E38-20FFD82026AF}</author>
    <author>tc={A0336341-13E9-4F08-BE35-F85DA0EF1E0B}</author>
    <author>tc={5EBFE2B7-3C7E-472D-B963-B7720DA3A2E7}</author>
    <author>tc={47C225C1-F74A-4FF1-820D-55F29ABCD0D3}</author>
    <author>tc={C340D5D8-B903-4743-9CCD-A72BB4B9C553}</author>
    <author>tc={FFA0159B-2090-4239-B176-9F2FF4EECF39}</author>
    <author>tc={A72FC572-108B-4C68-A41A-D6490E4E710B}</author>
    <author>tc={FE84589A-6CF0-4CAE-8F06-EEDB96BB8282}</author>
    <author>tc={E8607298-C075-46B7-B799-24B8AA042E64}</author>
    <author>tc={A91BE697-A421-4A21-8767-63F73DB0B856}</author>
    <author>tc={3901925D-B7FD-45ED-87D0-C55CDC09BD7E}</author>
    <author>tc={4F92BA49-0777-4076-95B8-7609908D5866}</author>
    <author>tc={5C03298B-BB13-41AD-838E-19E5DD9B166E}</author>
    <author>tc={C0B5EBA5-E8A4-4F41-9C49-3501785CC960}</author>
    <author>tc={08CCAC9D-83D4-4F8C-AF1E-0141FEE5B311}</author>
    <author>tc={85FF5711-740B-4C15-9928-3DD1E468C822}</author>
    <author>tc={858818AA-81B9-49AF-8BB9-028C48752A57}</author>
    <author>tc={197A1AB5-7442-4D07-8CA5-425C6F157D61}</author>
    <author>tc={093D5734-D971-460C-B895-7318EB18C37A}</author>
    <author>tc={911C4C1E-FE85-4561-AE43-B67A921B6435}</author>
    <author>tc={07D31A90-C0B2-4CA3-BD7F-3333DD790128}</author>
    <author>tc={145D4053-20FB-4269-AC23-7710B9DC7232}</author>
    <author>tc={DFF3F93F-A235-4D8D-B7FF-618BD69177EA}</author>
    <author>tc={7505A2F6-CFAE-43B4-9CDF-CBD71454EC51}</author>
    <author>tc={271BAC47-C88D-4017-AD22-93E1DC09EEFC}</author>
    <author>tc={B2C3F13A-95A5-4EA3-9F69-181B3EFA5451}</author>
    <author>tc={82609858-DBC7-43E9-AF5A-2B9B9EA6BFB0}</author>
    <author>tc={836B680F-0A1E-4B12-A1EC-493C4D1A2D97}</author>
    <author>tc={AB023D68-2D0F-40CC-A243-7A388456D679}</author>
    <author>tc={A5F9F931-7F17-40B5-8A23-90360BC4B6C2}</author>
    <author>tc={FF46648A-4845-48C5-A3E3-9A77C4222D0C}</author>
    <author>tc={5DCE6385-C340-4E41-882C-CDFA094732D9}</author>
    <author>tc={EF0CE4FE-C66C-4ACF-9482-31613937E34D}</author>
    <author>tc={D4BCB5C5-068D-4279-AE3D-0F29F97210F8}</author>
    <author>tc={147BDE6F-DE76-4814-9359-64F82885B970}</author>
    <author>tc={6FD2C5E5-D9CC-417F-9362-3FC51E2E2955}</author>
    <author>tc={B9AC458D-D987-4F95-BB98-A162383FC5D5}</author>
    <author>tc={3EF4A223-BBA4-4A1F-9B93-99898EFFB95F}</author>
    <author>tc={F704D154-BE39-42BF-B5D9-1ACCAA4CBB6C}</author>
    <author>tc={7DA2CD19-BDDF-4457-8DC0-CEAE5731E645}</author>
    <author>tc={5C491835-5CED-428A-8A41-B9B41C19D9BC}</author>
    <author>tc={506711BA-5160-43CD-9429-F96026AA13FE}</author>
  </authors>
  <commentList>
    <comment ref="S2" authorId="0" shapeId="0" xr:uid="{EB72B61C-B2AC-4D1C-B254-F8583E03D73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Items in Red are overspends</t>
        </r>
      </text>
    </comment>
    <comment ref="F4" authorId="1" shapeId="0" xr:uid="{98383598-7B9D-49E7-9168-A45AA40BACB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Figure taken from April Minutes.  Need to Cross check with April Statement (on old Bank Account).
</t>
      </text>
    </comment>
    <comment ref="G4" authorId="2" shapeId="0" xr:uid="{C726BA2B-CBA3-4AC7-BBA2-7AFFABB89769}">
      <text>
        <t>[Threaded comment]
Your version of Excel allows you to read this threaded comment; however, any edits to it will get removed if the file is opened in a newer version of Excel. Learn more: https://go.microsoft.com/fwlink/?linkid=870924
Comment:
    Clerk Wages £732.88 paid on 14/05/25.</t>
      </text>
    </comment>
    <comment ref="H4" authorId="3" shapeId="0" xr:uid="{952DC61D-19A3-4D5F-8E71-B21AC52A4FB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Clerk’s wages of £708.16 paid on 04/06/25.</t>
      </text>
    </comment>
    <comment ref="I4" authorId="4" shapeId="0" xr:uid="{BA40BEFC-3DEE-4520-9F3D-A2A626B288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by bank of £789.68 comprising £753.12 Pay, and mail (May £12.36, June £12.10, July, £12.10) £36.56.  This is the point at which we switch from paying in arrears to paying in advance.</t>
      </text>
    </comment>
    <comment ref="J4" authorId="5" shapeId="0" xr:uid="{56CC8D4E-AE60-4B53-9B41-96987B166A6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£814.07 in total for Clerk’s wages (£803.08), Sim Card £0.99, Top Up £10.00).</t>
      </text>
    </comment>
    <comment ref="K4" authorId="6" shapeId="0" xr:uid="{2A30FFE0-79B9-4230-99B8-C55CAA761DD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£877.59, consisting of £839.48 for salary and backpay, plus £26.00 for allowances (totalling £865.48), and £12.10 for email. </t>
      </text>
    </comment>
    <comment ref="L4" authorId="7" shapeId="0" xr:uid="{83108D9E-0ED8-43FD-BBB1-69327CB6F98B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£922.78 Bank Payment. consisting of Pay £746.40+£26.00 Allowance = £772.40; in same payment was £2.50 for Card, and defibrillator for £119.99.  This totals £894.89, leaving a missing item of £27.89 to be accounted for.</t>
      </text>
    </comment>
    <comment ref="M4" authorId="8" shapeId="0" xr:uid="{561A3241-86BC-4780-B665-F2EF0585F49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06/11/25, £784.5, consisting of £772.40 for Salary and Allowances and £12.10 for Clerk's email.</t>
      </text>
    </comment>
    <comment ref="L5" authorId="0" shapeId="0" xr:uid="{B584BB5D-FC55-4066-B75C-3F0D06131E7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taken from 30 Sep Payslip was £772.40.  Reconciliation is £814.08 (presumably the difference is the allowances)</t>
        </r>
      </text>
    </comment>
    <comment ref="U5" authorId="0" shapeId="0" xr:uid="{45A88A3E-7C8E-4B0C-9B71-D06B94AE8E9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6" authorId="9" shapeId="0" xr:uid="{92DE2F4F-FF31-4F37-AF3C-2232622999B3}">
      <text>
        <t>[Threaded comment]
Your version of Excel allows you to read this threaded comment; however, any edits to it will get removed if the file is opened in a newer version of Excel. Learn more: https://go.microsoft.com/fwlink/?linkid=870924
Comment:
    Figure taken from April Minutes.  Need to Cross check with April Statement (on old Bank Account).</t>
      </text>
    </comment>
    <comment ref="I6" authorId="10" shapeId="0" xr:uid="{0C14AFB9-3F0D-47D2-A6B9-8416105F4AB7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£744.73 for Employer’s PAYE NI on 09/07/25.</t>
      </text>
    </comment>
    <comment ref="L6" authorId="11" shapeId="0" xr:uid="{CCA16A6D-F957-41B2-BF15-612CF20E8B03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HMRC for Employers NI for Clerk for 3 months, paid on 08/10/25.</t>
      </text>
    </comment>
    <comment ref="U7" authorId="0" shapeId="0" xr:uid="{D9F23E7C-3DF9-4568-B46D-4E0DDE66492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8" authorId="0" shapeId="0" xr:uid="{7291AF63-CCA1-4705-AB3B-A09CC1E8320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G8" authorId="12" shapeId="0" xr:uid="{A3DAE065-3787-44CC-BC81-D55543A33360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£95.59 for printer cartridges to Simon Hedges who bought them for Sheila.  No VAT Claimable. Paid on 15/05/25.</t>
      </text>
    </comment>
    <comment ref="J8" authorId="13" shapeId="0" xr:uid="{9E8A3F93-1E73-48F4-AAE2-75B0EBA366A6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£95.59 for printer cartridges to Simon Hedges who bought them for Sheila.  No VAT Claimable. Paid on 06/08/25.</t>
      </text>
    </comment>
    <comment ref="J9" authorId="14" shapeId="0" xr:uid="{A8A81233-81FD-4821-9C19-ECF007265E3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£814.07 in total for Clerk’s wages (£803.08), Sim Card £0.99, Top Up £10.00).</t>
      </text>
    </comment>
    <comment ref="Q9" authorId="0" shapeId="0" xr:uid="{855548A9-8CD5-4E87-890B-C81DBE7333D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Topup</t>
        </r>
      </text>
    </comment>
    <comment ref="I10" authorId="15" shapeId="0" xr:uid="{2A8C268C-ED9F-43A7-B08A-61644ED25602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by bank of £789.68 comprising £753.12 Pay, and mail (May £12.36, June £12.10, July, £12.10) £36.56.  This is the point at which we switch from paying in arrears to paying in advance.</t>
      </text>
    </comment>
    <comment ref="K10" authorId="16" shapeId="0" xr:uid="{58967E0B-0743-417F-B509-967FA4E9B6C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£877.59, consisting of £839.48 for salary and backpay, plus £26.00 for allowances (totalling £865.48), and £12.10 for email. </t>
      </text>
    </comment>
    <comment ref="L10" authorId="0" shapeId="0" xr:uid="{B467018D-DDCF-49AC-81B2-0BF20922DD4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payment noted in minutes or Bank Account.  Why?</t>
        </r>
      </text>
    </comment>
    <comment ref="M10" authorId="17" shapeId="0" xr:uid="{1E97EE8A-F873-43D3-831E-CC64959F97FB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06/11/25, £784.5, consisting of £772.40 for Salary and Allowances and £12.10 for Clerk's email.</t>
      </text>
    </comment>
    <comment ref="U11" authorId="0" shapeId="0" xr:uid="{2C5F27C3-68D6-4FD0-B71F-88D89845F4AD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12" authorId="0" shapeId="0" xr:uid="{0088402F-E3E0-4A93-BC4B-6C8C55F7C0A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L14" authorId="0" shapeId="0" xr:uid="{8712B7D9-5B87-455E-8472-C4B97F68535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Card for Football Club
Total £922.78 Bank Payment. consisting of Pay £746.40+£26.00 Allowance = £772.40; in same payment was £2.50 for Card, and defibrillator for £119.99.  This totals £894.89, leaving a missing item of £27.89 to be accounted for.</t>
        </r>
      </text>
    </comment>
    <comment ref="U16" authorId="0" shapeId="0" xr:uid="{9792E0EF-8E77-456F-841B-A7FF1E2B9FE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17" authorId="18" shapeId="0" xr:uid="{6B6D9848-3F28-4DBD-9D4A-98E7719710BC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to Unity Trust Bank for £6.00 fees on 31/05/25.</t>
      </text>
    </comment>
    <comment ref="H17" authorId="19" shapeId="0" xr:uid="{FEE4E79B-8093-455D-8F1B-B9612D2044D8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to Unity Trust Bank for £6.00 fees on 30/06/25.</t>
      </text>
    </comment>
    <comment ref="I17" authorId="20" shapeId="0" xr:uid="{6CF98485-4D93-4E92-84ED-932E68E19EAB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of Bank Fees £6.00 on 31/07/25</t>
      </text>
    </comment>
    <comment ref="J17" authorId="21" shapeId="0" xr:uid="{7B23990C-101B-4D49-B56F-46A952407295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paid by Direct Debit to Microsoft on 31/08/25.</t>
      </text>
    </comment>
    <comment ref="K17" authorId="22" shapeId="0" xr:uid="{183C48F3-DA67-4A76-AC85-ECDB9D308570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paid by Direct Debit to Microsoft on 30/09/25.</t>
      </text>
    </comment>
    <comment ref="L17" authorId="23" shapeId="0" xr:uid="{5AFBD7F1-32BD-4484-8736-4766576AD87F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£6.00 to Unity Trust  on 24/10/25.</t>
      </text>
    </comment>
    <comment ref="M17" authorId="0" shapeId="0" xr:uid="{75D5731F-32C1-4797-B15A-398574D58F9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Payment due at end November 2025.</t>
        </r>
      </text>
    </comment>
    <comment ref="Q18" authorId="0" shapeId="0" xr:uid="{6D5BDDEF-D54F-4E9D-86B2-F97F17A6095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It not clear that this is owed. Ask Ruth.</t>
        </r>
      </text>
    </comment>
    <comment ref="U20" authorId="0" shapeId="0" xr:uid="{EDC745FA-19B6-4231-9B43-DAA2C0C1890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B21" authorId="24" shapeId="0" xr:uid="{7133B168-E600-451F-A406-1168703F90C1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H21" authorId="25" shapeId="0" xr:uid="{4C4F9884-42FC-4B06-A822-13F5E1A88C87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of £47.00 for Information Commissioner on 26/05/25.</t>
      </text>
    </comment>
    <comment ref="A23" authorId="0" shapeId="0" xr:uid="{86E62016-7522-437D-9788-D2EFA88A52A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sure if VAT included (hence Blue)</t>
        </r>
      </text>
    </comment>
    <comment ref="B25" authorId="26" shapeId="0" xr:uid="{FEC8E155-9A90-4621-9E38-20FFD82026AF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C25" authorId="0" shapeId="0" xr:uid="{17857214-4841-45F2-ACD8-83A89936B64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Budget for 2024/25 was £583 for DALC and £160 for the remainder, totalling £743.
</t>
        </r>
      </text>
    </comment>
    <comment ref="U25" authorId="0" shapeId="0" xr:uid="{F7E4C339-87B2-42D4-A56D-05E79553706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Add in the £168 for DALC which is deducted by them from the Precept, and so doesn't appear in the in-year Budget, but must be added back when setting the precent.
</t>
        </r>
      </text>
    </comment>
    <comment ref="U27" authorId="0" shapeId="0" xr:uid="{10F42063-E8F3-4863-A8DF-B16090B2C71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A28" authorId="0" shapeId="0" xr:uid="{B369A1AC-0B26-4FC5-B1CD-62C74C24CAA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VAT paid (hence green)</t>
        </r>
      </text>
    </comment>
    <comment ref="G28" authorId="27" shapeId="0" xr:uid="{A0336341-13E9-4F08-BE35-F85DA0EF1E0B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Zurich insurance for SPC public liability insurance £819.95 on 14/05/25.</t>
      </text>
    </comment>
    <comment ref="U29" authorId="0" shapeId="0" xr:uid="{58A69743-D97D-41A1-9990-C2A9698C6A3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I30" authorId="28" shapeId="0" xr:uid="{5EBFE2B7-3C7E-472D-B963-B7720DA3A2E7}">
      <text>
        <t>[Threaded comment]
Your version of Excel allows you to read this threaded comment; however, any edits to it will get removed if the file is opened in a newer version of Excel. Learn more: https://go.microsoft.com/fwlink/?linkid=870924
Comment:
    First 3 direct monthsworth of Direct Debit Payments £90 on 24/07/25.</t>
      </text>
    </comment>
    <comment ref="J30" authorId="29" shapeId="0" xr:uid="{47C225C1-F74A-4FF1-820D-55F29ABCD0D3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£30.00 to Westcott on 26/08/25.</t>
      </text>
    </comment>
    <comment ref="K30" authorId="30" shapeId="0" xr:uid="{C340D5D8-B903-4743-9CCD-A72BB4B9C553}">
      <text>
        <t>[Threaded comment]
Your version of Excel allows you to read this threaded comment; however, any edits to it will get removed if the file is opened in a newer version of Excel. Learn more: https://go.microsoft.com/fwlink/?linkid=870924
Comment:
    £30 paid by direct debit to Westcott on 03/09/25.</t>
      </text>
    </comment>
    <comment ref="L30" authorId="31" shapeId="0" xr:uid="{FFA0159B-2090-4239-B176-9F2FF4EECF3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£30.00 to Westcott, paid 24/10/25.</t>
      </text>
    </comment>
    <comment ref="M30" authorId="0" shapeId="0" xr:uid="{A950177C-C4E6-4433-A350-60225AD1741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Due late November.</t>
        </r>
      </text>
    </comment>
    <comment ref="U32" authorId="0" shapeId="0" xr:uid="{5A6DD843-A058-4AD6-88DF-7F68AC4DD87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33" authorId="32" shapeId="0" xr:uid="{A72FC572-108B-4C68-A41A-D6490E4E710B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Penny Clapham for Internal Audit £103.00 on 14/05/25.</t>
      </text>
    </comment>
    <comment ref="U34" authorId="0" shapeId="0" xr:uid="{26EEE0A7-EDE6-43F1-BAA6-780A376E842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35" authorId="33" shapeId="0" xr:uid="{FE84589A-6CF0-4CAE-8F06-EEDB96BB828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to PKF (Auditing) of £378.00 on 06/08/25.  </t>
      </text>
    </comment>
    <comment ref="L36" authorId="0" shapeId="0" xr:uid="{3FF8C163-B939-44D4-9C0F-72FB5ABA7E2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Can vat be reclaimed for this?  If so, it would be £-63.</t>
        </r>
      </text>
    </comment>
    <comment ref="U37" authorId="0" shapeId="0" xr:uid="{40344F8E-F32C-4C25-956B-CEF6352DD70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41" authorId="0" shapeId="0" xr:uid="{4C8202B3-B458-4D78-9085-57E114D1A96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44" authorId="34" shapeId="0" xr:uid="{E8607298-C075-46B7-B799-24B8AA042E6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Rhino Play for Repairs to Children’s Play Area £6,805.20 on 14/05/25.</t>
      </text>
    </comment>
    <comment ref="J45" authorId="35" shapeId="0" xr:uid="{A91BE697-A421-4A21-8767-63F73DB0B856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£781.68 to Evolution Skate Parks on 06/08/25.</t>
      </text>
    </comment>
    <comment ref="I46" authorId="36" shapeId="0" xr:uid="{3901925D-B7FD-45ED-87D0-C55CDC09BD7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£13,968.00 to White Rose Tarmacadam for Skate Park resurfacing on 09/07/25.</t>
      </text>
    </comment>
    <comment ref="M49" authorId="37" shapeId="0" xr:uid="{4F92BA49-0777-4076-95B8-7609908D5866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Silverton Community Hall £184.00 on 06/11/25.  This consisted of £140 basic, plus extra bookings for additional meeting on 25/11/25 plus training meeting.</t>
      </text>
    </comment>
    <comment ref="I50" authorId="38" shapeId="0" xr:uid="{5C03298B-BB13-41AD-838E-19E5DD9B166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£25.00 for Silverton Room 4 U for meeting of Broad Oak Working Group.</t>
      </text>
    </comment>
    <comment ref="U51" authorId="0" shapeId="0" xr:uid="{D5C5F179-1166-45A1-9192-A9BEB0FC7D2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55" authorId="39" shapeId="0" xr:uid="{C0B5EBA5-E8A4-4F41-9C49-3501785CC96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£980.40 to Smith of Derby for Clock annual maintenance paid on 06/08/24.</t>
      </text>
    </comment>
    <comment ref="U57" authorId="0" shapeId="0" xr:uid="{045AABE7-C4FE-4A9C-9244-D50879606AA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59" authorId="0" shapeId="0" xr:uid="{917DC9BE-3C2D-4A28-8301-796E9CC0535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1" authorId="0" shapeId="0" xr:uid="{78E434BB-E18F-4736-AC0E-9B6E1F13C68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3" authorId="0" shapeId="0" xr:uid="{ED3D971D-86D7-4E12-A5C0-3AB03A99DF0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I64" authorId="40" shapeId="0" xr:uid="{08CCAC9D-83D4-4F8C-AF1E-0141FEE5B31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donation of £500.00 to Silverton Street Market on 09/07/25.</t>
      </text>
    </comment>
    <comment ref="U65" authorId="0" shapeId="0" xr:uid="{675A7C66-09A1-415D-83A7-9B2F63FA8D1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7" authorId="0" shapeId="0" xr:uid="{6582BBA5-7388-4335-9AD6-90AACC86F48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70" authorId="0" shapeId="0" xr:uid="{F4B5733F-53DA-44B3-86A0-0D6E183F8A1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A71" authorId="0" shapeId="0" xr:uid="{1B8D9721-C938-4F11-8CA3-A67A1400494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VAT at 5%.  May ignore?</t>
        </r>
      </text>
    </comment>
    <comment ref="F71" authorId="0" shapeId="0" xr:uid="{09E79A4C-E564-47EE-A062-8913F351570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G71" authorId="41" shapeId="0" xr:uid="{85FF5711-740B-4C15-9928-3DD1E468C82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£17.64 for DAAT floodlights on 14/05/24.</t>
      </text>
    </comment>
    <comment ref="J71" authorId="42" shapeId="0" xr:uid="{858818AA-81B9-49AF-8BB9-028C48752A57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to Eon £54.23 on 06/08/25.</t>
      </text>
    </comment>
    <comment ref="F77" authorId="0" shapeId="0" xr:uid="{14DDBFC6-C95E-47C7-B70C-619F6FD7F30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G77" authorId="43" shapeId="0" xr:uid="{197A1AB5-7442-4D07-8CA5-425C6F157D6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£625.00 to Denis Marsden Handyman for routine work on 14/05/25.</t>
      </text>
    </comment>
    <comment ref="H77" authorId="44" shapeId="0" xr:uid="{093D5734-D971-460C-B895-7318EB18C37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for Denis Marsden, Handyman of £625 on 04/06/25.</t>
      </text>
    </comment>
    <comment ref="I77" authorId="45" shapeId="0" xr:uid="{911C4C1E-FE85-4561-AE43-B67A921B643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 to Denis Marsden for routine Handyman work on 09/07/25.  Payments this month and onwards increase from £625 to £650 as he now keeps down weeds on the pond site and the church road bank.</t>
      </text>
    </comment>
    <comment ref="J77" authorId="46" shapeId="0" xr:uid="{07D31A90-C0B2-4CA3-BD7F-3333DD79012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£650.00 to Denis Marsden for routine handyman work on 06/08/25.</t>
      </text>
    </comment>
    <comment ref="K77" authorId="47" shapeId="0" xr:uid="{145D4053-20FB-4269-AC23-7710B9DC723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£675.00 consisting of £650 routine work, plus £25.00 ad hoc to replace damaged slab in Big Rec, paid on 03/09/25.</t>
      </text>
    </comment>
    <comment ref="L77" authorId="48" shapeId="0" xr:uid="{DFF3F93F-A235-4D8D-B7FF-618BD69177EA}">
      <text>
        <t>[Threaded comment]
Your version of Excel allows you to read this threaded comment; however, any edits to it will get removed if the file is opened in a newer version of Excel. Learn more: https://go.microsoft.com/fwlink/?linkid=870924
Comment:
    £650.00 paid to Denis Marsden on 08/10/25.</t>
      </text>
    </comment>
    <comment ref="M77" authorId="49" shapeId="0" xr:uid="{7505A2F6-CFAE-43B4-9CDF-CBD71454EC5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£650.00 to Denis Marsden on 06/11/25.</t>
      </text>
    </comment>
    <comment ref="U78" authorId="0" shapeId="0" xr:uid="{6713F7B4-E77D-4398-B5E8-8F99AED93E3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79" authorId="50" shapeId="0" xr:uid="{271BAC47-C88D-4017-AD22-93E1DC09EEFC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£300 from Bank to Denis for Seats on little Rec on 06/08/25.</t>
      </text>
    </comment>
    <comment ref="K79" authorId="51" shapeId="0" xr:uid="{B2C3F13A-95A5-4EA3-9F69-181B3EFA545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£675.00 consisting of £650 routine work, plus £25.00 ad hoc to replace damaged slab in Big Rec, paid on 03/09/25.</t>
      </text>
    </comment>
    <comment ref="N79" authorId="0" shapeId="0" xr:uid="{517CAD31-663F-4B6D-9E7A-8EC8B262CC2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What is this for?</t>
        </r>
      </text>
    </comment>
    <comment ref="M80" authorId="52" shapeId="0" xr:uid="{82609858-DBC7-43E9-AF5A-2B9B9EA6BFB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 to Stephen Land for clearing the Cobbled Path.</t>
      </text>
    </comment>
    <comment ref="U81" authorId="0" shapeId="0" xr:uid="{07C3B4CC-8B63-4E1D-8662-98858E1A7FD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82" authorId="0" shapeId="0" xr:uid="{4461C353-CD1D-4BA5-AFEE-E335AAA1B86D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Seats in Little Rec - Installation</t>
        </r>
      </text>
    </comment>
    <comment ref="G84" authorId="53" shapeId="0" xr:uid="{836B680F-0A1E-4B12-A1EC-493C4D1A2D97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Parsons for April and May cutting £2,016.44 on 14/05/25.</t>
      </text>
    </comment>
    <comment ref="I84" authorId="54" shapeId="0" xr:uid="{AB023D68-2D0F-40CC-A243-7A388456D679}">
      <text>
        <t>[Threaded comment]
Your version of Excel allows you to read this threaded comment; however, any edits to it will get removed if the file is opened in a newer version of Excel. Learn more: https://go.microsoft.com/fwlink/?linkid=870924
Comment:
    2 Bank Payments for June and July Invoices £1,337.93+£1,196.40 totalling £2543.33, both paid on 09/07/25.</t>
      </text>
    </comment>
    <comment ref="J84" authorId="55" shapeId="0" xr:uid="{A5F9F931-7F17-40B5-8A23-90360BC4B6C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£944.81 to Parsons on 06/08/25.</t>
      </text>
    </comment>
    <comment ref="L84" authorId="56" shapeId="0" xr:uid="{FF46648A-4845-48C5-A3E3-9A77C4222D0C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£1196.40 on 8th October.</t>
      </text>
    </comment>
    <comment ref="M84" authorId="57" shapeId="0" xr:uid="{5DCE6385-C340-4E41-882C-CDFA094732D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£944.81 on 25/11/25 to Parsons.</t>
      </text>
    </comment>
    <comment ref="R86" authorId="0" shapeId="0" xr:uid="{8C366C1F-C258-430B-B2CC-7405B55E5E9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Quote was for £7246, plus VAT.</t>
        </r>
      </text>
    </comment>
    <comment ref="U86" authorId="0" shapeId="0" xr:uid="{685CA878-CC94-4C23-9938-436217144DF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88" authorId="0" shapeId="0" xr:uid="{C1328E8A-7E9D-4EA9-865D-4EC5B1DC906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89" authorId="58" shapeId="0" xr:uid="{EF0CE4FE-C66C-4ACF-9482-31613937E34D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£1,324.80 for safety inspection on 06/08/25.</t>
      </text>
    </comment>
    <comment ref="L90" authorId="0" shapeId="0" xr:uid="{11F1850E-FCA0-48FD-991E-43320BC4319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Does this item attract VAT.</t>
        </r>
      </text>
    </comment>
    <comment ref="U91" authorId="0" shapeId="0" xr:uid="{A089670B-8E2F-4A92-9D06-ECE2F615DED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96" authorId="59" shapeId="0" xr:uid="{D4BCB5C5-068D-4279-AE3D-0F29F97210F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£3,250.00 to Silverton Evangelical Church for Youth Worker £3,250.00 on 14/05/25.</t>
      </text>
    </comment>
    <comment ref="U96" authorId="0" shapeId="0" xr:uid="{3805238E-74A2-4F7A-A905-5A965E86F8D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B100" authorId="60" shapeId="0" xr:uid="{147BDE6F-DE76-4814-9359-64F82885B970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G100" authorId="61" shapeId="0" xr:uid="{6FD2C5E5-D9CC-417F-9362-3FC51E2E295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£924.00 to Hi Line for Berry Tree Risk Assessment (£504.00) and Big Rec Tree Assessment (£420) on 14/05/25.</t>
      </text>
    </comment>
    <comment ref="G101" authorId="62" shapeId="0" xr:uid="{B9AC458D-D987-4F95-BB98-A162383FC5D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£924.00 to Hi Line for Berry Tree Risk Assessment (£504.00) and Big Rec Tree Assessment (£420) on 14/05/25.
</t>
      </text>
    </comment>
    <comment ref="B107" authorId="63" shapeId="0" xr:uid="{3EF4A223-BBA4-4A1F-9B93-99898EFFB95F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  <comment ref="G107" authorId="64" shapeId="0" xr:uid="{F704D154-BE39-42BF-B5D9-1ACCAA4CBB6C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£200.00 to Paul Gawen for Bus Shelter roof leak fix on 14/05/25.</t>
      </text>
    </comment>
    <comment ref="O108" authorId="0" shapeId="0" xr:uid="{4746029E-FC3A-4C97-AB81-C7A0C019D87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Improve noticeboard by Little Rec</t>
        </r>
      </text>
    </comment>
    <comment ref="N109" authorId="0" shapeId="0" xr:uid="{9C971F12-8BFC-4F42-8CB6-EFEF7297E36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Buy Bench from Amazon.  VAT applies.</t>
        </r>
      </text>
    </comment>
    <comment ref="O109" authorId="0" shapeId="0" xr:uid="{B0D6B583-1037-4BFC-8965-B5CC2FFD6D87}">
      <text>
        <r>
          <rPr>
            <sz val="9"/>
            <color indexed="81"/>
            <rFont val="Tahoma"/>
            <family val="2"/>
          </rPr>
          <t xml:space="preserve">Install Bench
</t>
        </r>
      </text>
    </comment>
    <comment ref="A110" authorId="0" shapeId="0" xr:uid="{DC912993-9631-4A3D-B929-3AFAE460FCB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invoice made out to PC, so can't reclaim VAT</t>
        </r>
      </text>
    </comment>
    <comment ref="F110" authorId="0" shapeId="0" xr:uid="{3678340F-5433-4CFF-B099-D79AD15E2AC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A111" authorId="0" shapeId="0" xr:uid="{BB5E19A2-1FCD-4E27-9331-9B6D17F5CF6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invoice made out to PC, so can't reclaim VAT</t>
        </r>
      </text>
    </comment>
    <comment ref="L111" authorId="65" shapeId="0" xr:uid="{7DA2CD19-BDDF-4457-8DC0-CEAE5731E64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Total £922.78 Bank Payment. consisting of Pay £746.40+£26.00 Allowance = £772.40; in same payment was £2.50 for Card, and defibrillator for £119.99.  This totals £894.89, leaving a missing item of £27.89 to be accounted for.
</t>
      </text>
    </comment>
    <comment ref="L116" authorId="0" shapeId="0" xr:uid="{D5192C98-C5FB-4361-82CF-42C490828CF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Refund Payment in October 2025 was £5,166.89.</t>
        </r>
      </text>
    </comment>
    <comment ref="L122" authorId="0" shapeId="0" xr:uid="{28A5A158-C0F2-4CB7-B274-D089082B4D2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Potential Overpayment.  Being checked with Sheila.</t>
        </r>
      </text>
    </comment>
    <comment ref="F133" authorId="66" shapeId="0" xr:uid="{5C491835-5CED-428A-8A41-B9B41C19D9BC}">
      <text>
        <t>[Threaded comment]
Your version of Excel allows you to read this threaded comment; however, any edits to it will get removed if the file is opened in a newer version of Excel. Learn more: https://go.microsoft.com/fwlink/?linkid=870924
Comment:
    Received early in financial year.  Exact Date not known.</t>
      </text>
    </comment>
    <comment ref="L133" authorId="67" shapeId="0" xr:uid="{506711BA-5160-43CD-9429-F96026AA13FE}">
      <text>
        <t>[Threaded comment]
Your version of Excel allows you to read this threaded comment; however, any edits to it will get removed if the file is opened in a newer version of Excel. Learn more: https://go.microsoft.com/fwlink/?linkid=870924
Comment:
    Received 06/10/25</t>
      </text>
    </comment>
    <comment ref="L142" authorId="0" shapeId="0" xr:uid="{A6486867-7EF9-4FB6-8D8A-B27902A0812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Confirmed  as £ 54,760 and £68.05 from here https://www.middevon.gov.uk/residents/council-tax/council-tax-bandings-and-how-your-tax-is-spent/charges-for-202526/parish-precepts-202526/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Hedges</author>
    <author>tc={CD0565A1-3C77-4070-A3EE-886C74003E98}</author>
    <author>tc={9DDDC14E-12F5-4608-A25C-3CF59499FDEE}</author>
    <author>tc={1C0C1B80-53C4-49F2-9514-B43AE70CD886}</author>
    <author>tc={D7DB5B36-2214-404C-B295-5DEED40B9B68}</author>
    <author>tc={2D8B6959-AFE8-4450-8367-AD12001F9709}</author>
    <author>tc={9E5646DD-DA71-47BB-BC3E-2E62894E04F9}</author>
    <author>tc={D3DF0D13-EB45-4643-AD0F-8492EAD49358}</author>
    <author>tc={525F8AF9-7874-4E56-832C-B98C30FFCC3D}</author>
    <author>tc={E7305365-7003-48E7-B171-A0BF54E840C0}</author>
    <author>tc={9C73BF72-2F2D-404D-B6FF-7B448F4DA8FF}</author>
    <author>tc={532942C9-C73E-4F98-9588-6E16EBDE148A}</author>
    <author>tc={FC3B7F8C-78AA-4630-9187-E0F667EBABCD}</author>
    <author>tc={2BB788BD-668C-420D-942F-54ECB4B9FD33}</author>
    <author>tc={98EA173A-45D9-456E-BAE1-DD29E18EB364}</author>
    <author>tc={AE7E9FAE-444F-4DCE-923F-00C0CAD201C9}</author>
    <author>tc={BCFD444C-EAE9-490C-91FE-DF8ECCD38D54}</author>
    <author>tc={872C0400-B2B1-46A7-846F-51AE02EAD920}</author>
    <author>tc={9B649A82-E631-4AE8-BD6D-E6DB109E451E}</author>
    <author>tc={923C37A0-9729-4733-8DC8-D45D02162469}</author>
    <author>tc={07EECAA2-C9F5-4466-9C7B-24155A394480}</author>
    <author>tc={8740AD7A-E8A6-4088-B7B1-0673F1D08E90}</author>
    <author>tc={49E3AC4E-A5A3-4816-ADDD-E7C350B938AB}</author>
    <author>tc={9DD22ADF-C2F4-4284-ADFF-4BD3EA4758B9}</author>
    <author>tc={04F70A6D-E97D-4EE7-B569-54295100DC21}</author>
    <author>tc={C3F0C88F-2FD0-4A93-9CF2-894AE81720AF}</author>
    <author>tc={24B09126-6CEF-4B71-BE0D-79157C86DCE5}</author>
    <author>tc={AF26516A-4131-4663-B41C-91E0BDEE8704}</author>
    <author>tc={D0F129EE-998D-4073-8F85-E8ACA5455C1A}</author>
    <author>tc={C949DD67-7214-40DE-A6BA-003211B00E8D}</author>
    <author>tc={A97E01E0-A712-4BAB-8518-B5877E5E671D}</author>
    <author>tc={AD9046E0-0334-407B-8E09-5F90A0073CBE}</author>
    <author>tc={DFD3D899-DBBA-41B5-95A5-0495B822F42A}</author>
    <author>tc={0522E0C4-EC9B-4AAE-AC5B-F68D07B21CF2}</author>
    <author>tc={CFF53B09-D62D-4E46-A615-17526F14BE3B}</author>
    <author>tc={44EB05BD-270B-439B-8353-ABF3155D7664}</author>
    <author>tc={A584301A-B652-4658-AFF6-7C2A9F3A80E9}</author>
    <author>tc={A0525E5D-AC83-484B-B59C-8DA585E6447E}</author>
    <author>tc={B085CA58-C1C1-4FE4-97AC-D1861D7C712E}</author>
    <author>tc={94E13A34-31A5-4868-A771-044DF4C81D01}</author>
    <author>tc={0081F7C6-6328-4C11-8733-A356EF332E62}</author>
    <author>tc={A1B974DC-1538-4C3C-8BD5-45FFF76CFBA8}</author>
    <author>tc={989FB09F-3AC2-47C1-8D56-D328C97F7735}</author>
    <author>tc={05A55990-43DC-4C82-BAAF-A6AEA179FEB5}</author>
    <author>tc={78EB56C9-AD7A-46CD-8ED9-EABF9B21DC87}</author>
    <author>tc={C0F8AFCF-2D0D-494A-B25A-705B5A503458}</author>
    <author>tc={81CA2A78-0B21-4C21-8AAD-E27E38478FE1}</author>
    <author>tc={7BEAFF7E-03CD-44ED-A60C-81564C878863}</author>
    <author>tc={A0F529D6-8AB5-4058-A368-779D4769B555}</author>
    <author>tc={FE18555C-BE03-47C9-8378-686EFE1A74AA}</author>
    <author>tc={C5F2F579-F02B-4A07-902E-42EB567AE5D8}</author>
    <author>tc={424DECA2-B3A5-4734-BF82-DBC5026C6567}</author>
    <author>tc={EE04132C-1414-4805-A27B-A69FF56C19A9}</author>
    <author>tc={5F1D5D4F-9292-4D56-A0B1-3079E8714E4E}</author>
    <author>tc={47C200DB-9FDD-4EB8-986D-43FB0546741E}</author>
    <author>tc={5CB11829-45A4-48B3-A6E9-023829B36419}</author>
    <author>tc={4F14D605-960C-4919-A7DD-A83D1F042EE2}</author>
    <author>tc={DE4B638E-A790-422B-8DE3-E180FD16DF42}</author>
    <author>tc={770D602C-83D1-4762-9DA6-7A0DF212C436}</author>
    <author>tc={D23EA432-E848-44B7-A69A-E399CADAF8B8}</author>
    <author>tc={1C2169F2-73D1-4636-892C-9B8BE03B4079}</author>
    <author>tc={98AE91F8-83C5-4DF8-B29B-ED2E1CBA7897}</author>
    <author>tc={B01EAE1E-F4D6-4205-B28E-0A50871EA937}</author>
    <author>tc={A9ECA989-E103-4AB9-ADBE-23CEA69A9FAC}</author>
    <author>tc={A77DFCAC-0CCB-4E84-9560-0E5B3BB77E05}</author>
    <author>tc={3938C40C-074C-4485-B7EC-0F753C9C13AC}</author>
    <author>tc={83A30678-4456-4683-8FCD-CF34C9B0F40C}</author>
    <author>tc={C027932F-53F2-43F6-8D2E-6E6E00DBB10E}</author>
    <author>tc={CC1CEDDC-20C5-4C81-9A37-F5D3ACE553DE}</author>
  </authors>
  <commentList>
    <comment ref="S2" authorId="0" shapeId="0" xr:uid="{263CA1B4-4218-4FD3-AE67-999873FA87A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Items in Red are overspends</t>
        </r>
      </text>
    </comment>
    <comment ref="F4" authorId="1" shapeId="0" xr:uid="{CD0565A1-3C77-4070-A3EE-886C74003E9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Figure taken from April Minutes.  Need to Cross check with April Statement (on old Bank Account).
</t>
      </text>
    </comment>
    <comment ref="G4" authorId="2" shapeId="0" xr:uid="{9DDDC14E-12F5-4608-A25C-3CF59499FDEE}">
      <text>
        <t>[Threaded comment]
Your version of Excel allows you to read this threaded comment; however, any edits to it will get removed if the file is opened in a newer version of Excel. Learn more: https://go.microsoft.com/fwlink/?linkid=870924
Comment:
    Clerk Wages £732.88 paid on 14/05/25.</t>
      </text>
    </comment>
    <comment ref="H4" authorId="3" shapeId="0" xr:uid="{1C0C1B80-53C4-49F2-9514-B43AE70CD886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Clerk’s wages of £708.16 paid on 04/06/25.</t>
      </text>
    </comment>
    <comment ref="I4" authorId="4" shapeId="0" xr:uid="{D7DB5B36-2214-404C-B295-5DEED40B9B68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by bank of £789.68 comprising £753.12 Pay, and mail (May £12.36, June £12.10, July, £12.10) £36.56.  This is the point at which we switch from paying in arrears to paying in advance.</t>
      </text>
    </comment>
    <comment ref="J4" authorId="5" shapeId="0" xr:uid="{2D8B6959-AFE8-4450-8367-AD12001F970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£814.07 in total for Clerk’s wages (£803.08), Sim Card £0.99, Top Up £10.00).</t>
      </text>
    </comment>
    <comment ref="K4" authorId="6" shapeId="0" xr:uid="{9E5646DD-DA71-47BB-BC3E-2E62894E04F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£877.59, consisting of £839.48 for salary and backpay, plus £26.00 for allowances (totalling £865.48), and £12.10 for email. </t>
      </text>
    </comment>
    <comment ref="L4" authorId="7" shapeId="0" xr:uid="{D3DF0D13-EB45-4643-AD0F-8492EAD49358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£922.78 Bank Payment. consisting of Pay £746.40+£26.00 Allowance = £772.40; in same payment was £2.50 for Card, £12.10 for email, and £15.79 for paper.  Finally, the defibrillator case for £119.99.  This totals £894.89, leaving a missing item of £27.89 to be accounted for.</t>
      </text>
    </comment>
    <comment ref="M4" authorId="8" shapeId="0" xr:uid="{525F8AF9-7874-4E56-832C-B98C30FFCC3D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06/11/25, £784.5, consisting of £772.40 for Salary and Allowances and £12.10 for Clerk's email.</t>
      </text>
    </comment>
    <comment ref="L5" authorId="0" shapeId="0" xr:uid="{AF8B988F-B457-4317-A235-74073BB3BDB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taken from 30 Sep Payslip was £772.40.  Reconciliation is £814.08 (presumably the difference is the allowances)</t>
        </r>
      </text>
    </comment>
    <comment ref="U5" authorId="0" shapeId="0" xr:uid="{EBDB7558-1CA8-443F-A938-C4009423724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6" authorId="9" shapeId="0" xr:uid="{E7305365-7003-48E7-B171-A0BF54E840C0}">
      <text>
        <t>[Threaded comment]
Your version of Excel allows you to read this threaded comment; however, any edits to it will get removed if the file is opened in a newer version of Excel. Learn more: https://go.microsoft.com/fwlink/?linkid=870924
Comment:
    Figure taken from April Minutes.  Need to Cross check with April Statement (on old Bank Account).</t>
      </text>
    </comment>
    <comment ref="I6" authorId="10" shapeId="0" xr:uid="{9C73BF72-2F2D-404D-B6FF-7B448F4DA8FF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£744.73 for Employer’s PAYE NI on 09/07/25.</t>
      </text>
    </comment>
    <comment ref="L6" authorId="11" shapeId="0" xr:uid="{532942C9-C73E-4F98-9588-6E16EBDE148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HMRC for Employers NI for Clerk for 3 months, paid on 08/10/25.</t>
      </text>
    </comment>
    <comment ref="U7" authorId="0" shapeId="0" xr:uid="{DE176740-307F-4508-9F06-573423AB161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8" authorId="0" shapeId="0" xr:uid="{E34D26DE-47FA-46E9-AFF7-25BEC3CB858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G8" authorId="12" shapeId="0" xr:uid="{FC3B7F8C-78AA-4630-9187-E0F667EBABCD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£95.59 for printer cartridges to Simon Hedges who bought them for Sheila.  No VAT Claimable. Paid on 15/05/25.</t>
      </text>
    </comment>
    <comment ref="J8" authorId="13" shapeId="0" xr:uid="{2BB788BD-668C-420D-942F-54ECB4B9FD33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£95.59 for printer cartridges to Simon Hedges who bought them for Sheila.  No VAT Claimable. Paid on 06/08/25.</t>
      </text>
    </comment>
    <comment ref="J9" authorId="14" shapeId="0" xr:uid="{98EA173A-45D9-456E-BAE1-DD29E18EB36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£814.07 in total for Clerk’s wages (£803.08), Sim Card £0.99, Top Up £10.00).</t>
      </text>
    </comment>
    <comment ref="Q9" authorId="0" shapeId="0" xr:uid="{50089660-CA01-44B2-927C-52BEA6D1D13D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Topup</t>
        </r>
      </text>
    </comment>
    <comment ref="I11" authorId="15" shapeId="0" xr:uid="{AE7E9FAE-444F-4DCE-923F-00C0CAD201C9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by bank of £789.68 comprising £753.12 Pay, and mail (May £12.36, June £12.10, July, £12.10) £36.56.  This is the point at which we switch from paying in arrears to paying in advance.</t>
      </text>
    </comment>
    <comment ref="K11" authorId="16" shapeId="0" xr:uid="{BCFD444C-EAE9-490C-91FE-DF8ECCD38D5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£877.59, consisting of £839.48 for salary and backpay, plus £26.00 for allowances (totalling £865.48), and £12.10 for email. </t>
      </text>
    </comment>
    <comment ref="L11" authorId="0" shapeId="0" xr:uid="{0BC204F7-7FEC-4039-975F-A4AC734D699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payment noted in minutes or Bank Account.  Why?</t>
        </r>
      </text>
    </comment>
    <comment ref="M11" authorId="17" shapeId="0" xr:uid="{872C0400-B2B1-46A7-846F-51AE02EAD92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06/11/25, £784.5, consisting of £772.40 for Salary and Allowances and £12.10 for Clerk's email.</t>
      </text>
    </comment>
    <comment ref="U12" authorId="0" shapeId="0" xr:uid="{91D0B8AC-227F-4C4D-B1E9-D3C38715CA9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13" authorId="0" shapeId="0" xr:uid="{A8CA8876-9296-4230-B4E5-BDB519A3E52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L15" authorId="0" shapeId="0" xr:uid="{A9D7B586-B7C4-4D61-9A1F-4ECF6C02C51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Card for Football Club
Total £922.78 Bank Payment. consisting of Pay £746.40+£26.00 Allowance = £772.40; in same payment was £2.50 for Card, and defibrillator for £119.99.  This totals £894.89, leaving a missing item of £27.89 to be accounted for.</t>
        </r>
      </text>
    </comment>
    <comment ref="U17" authorId="0" shapeId="0" xr:uid="{72B7658F-40EA-404C-86BE-49DF071EB0E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18" authorId="18" shapeId="0" xr:uid="{9B649A82-E631-4AE8-BD6D-E6DB109E451E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to Unity Trust Bank for £6.00 fees on 31/05/25.</t>
      </text>
    </comment>
    <comment ref="H18" authorId="19" shapeId="0" xr:uid="{923C37A0-9729-4733-8DC8-D45D02162469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to Unity Trust Bank for £6.00 fees on 30/06/25.</t>
      </text>
    </comment>
    <comment ref="I18" authorId="20" shapeId="0" xr:uid="{07EECAA2-C9F5-4466-9C7B-24155A394480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of Bank Fees £6.00 on 31/07/25</t>
      </text>
    </comment>
    <comment ref="J18" authorId="21" shapeId="0" xr:uid="{8740AD7A-E8A6-4088-B7B1-0673F1D08E90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paid by Direct Debit to Microsoft on 31/08/25.</t>
      </text>
    </comment>
    <comment ref="K18" authorId="22" shapeId="0" xr:uid="{49E3AC4E-A5A3-4816-ADDD-E7C350B938AB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paid by Direct Debit to Microsoft on 30/09/25.</t>
      </text>
    </comment>
    <comment ref="L18" authorId="23" shapeId="0" xr:uid="{9DD22ADF-C2F4-4284-ADFF-4BD3EA4758B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£6.00 to Unity Trust  on 24/10/25.</t>
      </text>
    </comment>
    <comment ref="M18" authorId="0" shapeId="0" xr:uid="{E013D00D-2A62-49EE-9EDD-D7F6F231FEB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Payment due at end November 2025.</t>
        </r>
      </text>
    </comment>
    <comment ref="Q19" authorId="0" shapeId="0" xr:uid="{11CD9351-2619-4703-9E99-9CE9944BCE4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It not clear that this is owed. Ask Ruth.</t>
        </r>
      </text>
    </comment>
    <comment ref="U21" authorId="0" shapeId="0" xr:uid="{C0810E03-4E51-42C1-9B59-2A4818E367C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B22" authorId="24" shapeId="0" xr:uid="{04F70A6D-E97D-4EE7-B569-54295100DC21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H22" authorId="25" shapeId="0" xr:uid="{C3F0C88F-2FD0-4A93-9CF2-894AE81720AF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of £47.00 for Information Commissioner on 26/05/25.</t>
      </text>
    </comment>
    <comment ref="A24" authorId="0" shapeId="0" xr:uid="{43CA55AE-6561-4096-AC8E-8B071B16418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sure if VAT included (hence Blue)</t>
        </r>
      </text>
    </comment>
    <comment ref="B26" authorId="26" shapeId="0" xr:uid="{24B09126-6CEF-4B71-BE0D-79157C86DCE5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C26" authorId="0" shapeId="0" xr:uid="{259F82EF-1AA0-4B4E-8646-AE7FC0830D0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Budget for 2024/25 was £583 for DALC and £160 for the remainder, totalling £743.
</t>
        </r>
      </text>
    </comment>
    <comment ref="U26" authorId="0" shapeId="0" xr:uid="{4674A193-DB40-496F-8B44-D97BCFF1EA1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Add in the £168 for DALC which is deducted by them from the Precept, and so doesn't appear in the in-year Budget, but must be added back when setting the precept.  Clerk will ask for this to change in 2026/27 so that we pay the amount as we would for anything else, as this simplifies matters.
</t>
        </r>
      </text>
    </comment>
    <comment ref="U28" authorId="0" shapeId="0" xr:uid="{3E5050DF-6DEE-48FB-A05F-3E8D226C8E2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A29" authorId="0" shapeId="0" xr:uid="{A84E8D5A-3A47-4FE6-B24B-850B8023972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VAT paid (hence green)</t>
        </r>
      </text>
    </comment>
    <comment ref="G29" authorId="27" shapeId="0" xr:uid="{AF26516A-4131-4663-B41C-91E0BDEE870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Zurich insurance for SPC public liability insurance £819.95 on 14/05/25.</t>
      </text>
    </comment>
    <comment ref="U30" authorId="0" shapeId="0" xr:uid="{08AD7B80-0063-41CA-8C36-C957D7DF9D4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I31" authorId="28" shapeId="0" xr:uid="{D0F129EE-998D-4073-8F85-E8ACA5455C1A}">
      <text>
        <t>[Threaded comment]
Your version of Excel allows you to read this threaded comment; however, any edits to it will get removed if the file is opened in a newer version of Excel. Learn more: https://go.microsoft.com/fwlink/?linkid=870924
Comment:
    First 3 direct monthsworth of Direct Debit Payments £90 on 24/07/25.</t>
      </text>
    </comment>
    <comment ref="J31" authorId="29" shapeId="0" xr:uid="{C949DD67-7214-40DE-A6BA-003211B00E8D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£30.00 to Westcott on 26/08/25.</t>
      </text>
    </comment>
    <comment ref="K31" authorId="30" shapeId="0" xr:uid="{A97E01E0-A712-4BAB-8518-B5877E5E671D}">
      <text>
        <t>[Threaded comment]
Your version of Excel allows you to read this threaded comment; however, any edits to it will get removed if the file is opened in a newer version of Excel. Learn more: https://go.microsoft.com/fwlink/?linkid=870924
Comment:
    £30 paid by direct debit to Westcott on 03/09/25.</t>
      </text>
    </comment>
    <comment ref="L31" authorId="31" shapeId="0" xr:uid="{AD9046E0-0334-407B-8E09-5F90A0073CB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£30.00 to Westcott, paid 24/10/25.</t>
      </text>
    </comment>
    <comment ref="M31" authorId="0" shapeId="0" xr:uid="{E4A405EC-8F06-4318-8711-CB8D15CEB79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Due late November.</t>
        </r>
      </text>
    </comment>
    <comment ref="U33" authorId="0" shapeId="0" xr:uid="{70B202C8-DA6E-4A89-BF0D-8B42C670256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34" authorId="32" shapeId="0" xr:uid="{DFD3D899-DBBA-41B5-95A5-0495B822F42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Penny Clapham for Internal Audit £103.00 on 14/05/25.</t>
      </text>
    </comment>
    <comment ref="U35" authorId="0" shapeId="0" xr:uid="{2B9F054D-B0F9-4FD8-B3DC-C9D6E223CBF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36" authorId="33" shapeId="0" xr:uid="{0522E0C4-EC9B-4AAE-AC5B-F68D07B21CF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to PKF (Auditing) of £378.00 on 06/08/25.  </t>
      </text>
    </comment>
    <comment ref="L37" authorId="34" shapeId="0" xr:uid="{CFF53B09-D62D-4E46-A615-17526F14BE3B}">
      <text>
        <t>[Threaded comment]
Your version of Excel allows you to read this threaded comment; however, any edits to it will get removed if the file is opened in a newer version of Excel. Learn more: https://go.microsoft.com/fwlink/?linkid=870924
Comment:
    Confirmed by Clerk at November meeting that we can reclaim VAT on this item.</t>
      </text>
    </comment>
    <comment ref="U38" authorId="0" shapeId="0" xr:uid="{37A3F280-FE86-4F52-B0A4-6542845DC69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42" authorId="0" shapeId="0" xr:uid="{1A28186A-8E1B-4C01-948F-E1900BDF71C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45" authorId="35" shapeId="0" xr:uid="{44EB05BD-270B-439B-8353-ABF3155D766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Rhino Play for Repairs to Children’s Play Area £6,805.20 on 14/05/25.</t>
      </text>
    </comment>
    <comment ref="J46" authorId="36" shapeId="0" xr:uid="{A584301A-B652-4658-AFF6-7C2A9F3A80E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£781.68 to Evolution Skate Parks on 06/08/25.</t>
      </text>
    </comment>
    <comment ref="I47" authorId="37" shapeId="0" xr:uid="{A0525E5D-AC83-484B-B59C-8DA585E6447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£13,968.00 to White Rose Tarmacadam for Skate Park resurfacing on 09/07/25.</t>
      </text>
    </comment>
    <comment ref="M50" authorId="38" shapeId="0" xr:uid="{B085CA58-C1C1-4FE4-97AC-D1861D7C712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Silverton Community Hall £184.00 on 06/11/25.  This consisted of £140 basic, plus extra bookings for additional meeting on 25/11/25 plus training meeting.</t>
      </text>
    </comment>
    <comment ref="I51" authorId="39" shapeId="0" xr:uid="{94E13A34-31A5-4868-A771-044DF4C81D0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£25.00 for Silverton Room 4 U for meeting of Broad Oak Working Group.</t>
      </text>
    </comment>
    <comment ref="U52" authorId="0" shapeId="0" xr:uid="{CFAF654A-23D9-403E-81BF-7A06CE2F7DE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56" authorId="40" shapeId="0" xr:uid="{0081F7C6-6328-4C11-8733-A356EF332E6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£980.40 to Smith of Derby for Clock annual maintenance paid on 06/08/24.</t>
      </text>
    </comment>
    <comment ref="U58" authorId="0" shapeId="0" xr:uid="{20F9B776-A331-4B22-BCB6-92D70743F41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0" authorId="0" shapeId="0" xr:uid="{23E2B9A8-46CF-435B-B46B-4050ECF0781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2" authorId="0" shapeId="0" xr:uid="{130051BD-845C-4CF8-9A7C-6C4B37F7397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4" authorId="0" shapeId="0" xr:uid="{1367D110-7F43-4D60-91E8-F0E69A3D190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I65" authorId="41" shapeId="0" xr:uid="{A1B974DC-1538-4C3C-8BD5-45FFF76CFBA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donation of £500.00 to Silverton Street Market on 09/07/25.</t>
      </text>
    </comment>
    <comment ref="U66" authorId="0" shapeId="0" xr:uid="{68C53E21-EF46-4531-BC3B-6A124309327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68" authorId="0" shapeId="0" xr:uid="{8C3B91C2-5EDD-41C7-A444-34F774F6F3E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71" authorId="0" shapeId="0" xr:uid="{524B0FB8-DDD5-4D01-893E-5B4F90C31BA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A72" authorId="0" shapeId="0" xr:uid="{A496BEE3-A3F8-477D-895A-5CCA5050206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VAT at 5%.  May ignore?</t>
        </r>
      </text>
    </comment>
    <comment ref="F72" authorId="0" shapeId="0" xr:uid="{49D1C25F-746F-43FE-8FD8-CFF81F6ADCE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G72" authorId="42" shapeId="0" xr:uid="{989FB09F-3AC2-47C1-8D56-D328C97F773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£17.64 for DAAT floodlights on 14/05/24.</t>
      </text>
    </comment>
    <comment ref="J72" authorId="43" shapeId="0" xr:uid="{05A55990-43DC-4C82-BAAF-A6AEA179FEB5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to Eon £54.23 on 06/08/25.</t>
      </text>
    </comment>
    <comment ref="F78" authorId="0" shapeId="0" xr:uid="{2B041B00-00C3-4D7A-A567-AD4CE44E9ED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G78" authorId="44" shapeId="0" xr:uid="{78EB56C9-AD7A-46CD-8ED9-EABF9B21DC87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£625.00 to Denis Marsden Handyman for routine work on 14/05/25.</t>
      </text>
    </comment>
    <comment ref="H78" authorId="45" shapeId="0" xr:uid="{C0F8AFCF-2D0D-494A-B25A-705B5A50345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for Denis Marsden, Handyman of £625 on 04/06/25.</t>
      </text>
    </comment>
    <comment ref="I78" authorId="46" shapeId="0" xr:uid="{81CA2A78-0B21-4C21-8AAD-E27E38478FE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 to Denis Marsden for routine Handyman work on 09/07/25.  Payments this month and onwards increase from £625 to £650 as he now keeps down weeds on the pond site and the church road bank.</t>
      </text>
    </comment>
    <comment ref="J78" authorId="47" shapeId="0" xr:uid="{7BEAFF7E-03CD-44ED-A60C-81564C878863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£650.00 to Denis Marsden for routine handyman work on 06/08/25.</t>
      </text>
    </comment>
    <comment ref="K78" authorId="48" shapeId="0" xr:uid="{A0F529D6-8AB5-4058-A368-779D4769B55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£675.00 consisting of £650 routine work, plus £25.00 ad hoc to replace damaged slab in Big Rec, paid on 03/09/25.</t>
      </text>
    </comment>
    <comment ref="L78" authorId="49" shapeId="0" xr:uid="{FE18555C-BE03-47C9-8378-686EFE1A74AA}">
      <text>
        <t>[Threaded comment]
Your version of Excel allows you to read this threaded comment; however, any edits to it will get removed if the file is opened in a newer version of Excel. Learn more: https://go.microsoft.com/fwlink/?linkid=870924
Comment:
    £650.00 paid to Denis Marsden on 08/10/25.</t>
      </text>
    </comment>
    <comment ref="M78" authorId="50" shapeId="0" xr:uid="{C5F2F579-F02B-4A07-902E-42EB567AE5D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£650.00 to Denis Marsden on 06/11/25.</t>
      </text>
    </comment>
    <comment ref="U79" authorId="0" shapeId="0" xr:uid="{B195513A-032B-4907-8C48-779A2CA5D36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of 10%, as the amount will change in April 2026, and won't have increased for 2 years.  Will go out to competetive tender.
</t>
        </r>
      </text>
    </comment>
    <comment ref="J80" authorId="51" shapeId="0" xr:uid="{424DECA2-B3A5-4734-BF82-DBC5026C6567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£300 from Bank to Denis for Seats on little Rec on 06/08/25.</t>
      </text>
    </comment>
    <comment ref="K80" authorId="52" shapeId="0" xr:uid="{EE04132C-1414-4805-A27B-A69FF56C19A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£675.00 consisting of £650 routine work, plus £25.00 ad hoc to replace damaged slab in Big Rec, paid on 03/09/25.</t>
      </text>
    </comment>
    <comment ref="M81" authorId="53" shapeId="0" xr:uid="{5F1D5D4F-9292-4D56-A0B1-3079E8714E4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 to Stephen Land for clearing the Cobbled Path.</t>
      </text>
    </comment>
    <comment ref="U82" authorId="0" shapeId="0" xr:uid="{7BAD969E-F771-41AF-8E6B-A161DC7F960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83" authorId="0" shapeId="0" xr:uid="{5993C833-66AB-434A-BF95-EED6A7F4335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Seats in Little Rec - Installation</t>
        </r>
      </text>
    </comment>
    <comment ref="G85" authorId="54" shapeId="0" xr:uid="{47C200DB-9FDD-4EB8-986D-43FB0546741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Parsons for April and May cutting £2,016.44 on 14/05/25.</t>
      </text>
    </comment>
    <comment ref="I85" authorId="55" shapeId="0" xr:uid="{5CB11829-45A4-48B3-A6E9-023829B36419}">
      <text>
        <t>[Threaded comment]
Your version of Excel allows you to read this threaded comment; however, any edits to it will get removed if the file is opened in a newer version of Excel. Learn more: https://go.microsoft.com/fwlink/?linkid=870924
Comment:
    2 Bank Payments for June and July Invoices £1,337.93+£1,196.40 totalling £2543.33, both paid on 09/07/25.</t>
      </text>
    </comment>
    <comment ref="J85" authorId="56" shapeId="0" xr:uid="{4F14D605-960C-4919-A7DD-A83D1F042EE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£944.81 to Parsons on 06/08/25.</t>
      </text>
    </comment>
    <comment ref="L85" authorId="57" shapeId="0" xr:uid="{DE4B638E-A790-422B-8DE3-E180FD16DF4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£1196.40 on 8th October.</t>
      </text>
    </comment>
    <comment ref="M85" authorId="58" shapeId="0" xr:uid="{770D602C-83D1-4762-9DA6-7A0DF212C436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£944.81 on 25/11/25 to Parsons.</t>
      </text>
    </comment>
    <comment ref="R87" authorId="0" shapeId="0" xr:uid="{B675ED04-DC23-479A-BB76-8B273EA84A7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Quote was for £7246, plus VAT.</t>
        </r>
      </text>
    </comment>
    <comment ref="U87" authorId="0" shapeId="0" xr:uid="{D54B08AC-838C-4FF3-AB45-C50E068997D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U89" authorId="0" shapeId="0" xr:uid="{B69A321D-9AA5-4D76-9F7C-C6B24987504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J90" authorId="59" shapeId="0" xr:uid="{D23EA432-E848-44B7-A69A-E399CADAF8B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£1,324.80 for safety inspection on 06/08/25.</t>
      </text>
    </comment>
    <comment ref="L91" authorId="0" shapeId="0" xr:uid="{83FA1ABB-26C9-4254-91D3-5C69811CC0C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This does attract VAT.</t>
        </r>
      </text>
    </comment>
    <comment ref="U92" authorId="0" shapeId="0" xr:uid="{34BA9C77-BAB0-4143-81E3-3514FE80D1B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G97" authorId="60" shapeId="0" xr:uid="{1C2169F2-73D1-4636-892C-9B8BE03B407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£3,250.00 to Silverton Evangelical Church for Youth Worker £3,250.00 on 14/05/25.</t>
      </text>
    </comment>
    <comment ref="U97" authorId="0" shapeId="0" xr:uid="{C23B24B4-1E05-4EE4-8BFB-1E3E0B040800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B101" authorId="61" shapeId="0" xr:uid="{98AE91F8-83C5-4DF8-B29B-ED2E1CBA7897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G101" authorId="62" shapeId="0" xr:uid="{B01EAE1E-F4D6-4205-B28E-0A50871EA937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£924.00 to Hi Line for Berry Tree Risk Assessment (£504.00) and Big Rec Tree Assessment (£420) on 14/05/25.</t>
      </text>
    </comment>
    <comment ref="G102" authorId="63" shapeId="0" xr:uid="{A9ECA989-E103-4AB9-ADBE-23CEA69A9FA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£924.00 to Hi Line for Berry Tree Risk Assessment (£504.00) and Big Rec Tree Assessment (£420) on 14/05/25.
</t>
      </text>
    </comment>
    <comment ref="B108" authorId="64" shapeId="0" xr:uid="{A77DFCAC-0CCB-4E84-9560-0E5B3BB77E05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  <comment ref="G108" authorId="65" shapeId="0" xr:uid="{3938C40C-074C-4485-B7EC-0F753C9C13AC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£200.00 to Paul Gawen for Bus Shelter roof leak fix on 14/05/25.</t>
      </text>
    </comment>
    <comment ref="O109" authorId="0" shapeId="0" xr:uid="{E054CC4D-F251-4EE8-B6E5-257F25D6A1A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Improve noticeboard by Little Rec</t>
        </r>
      </text>
    </comment>
    <comment ref="N110" authorId="0" shapeId="0" xr:uid="{B71E054F-AB78-4C5E-AD77-86B80E516FC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Buy Bench from Amazon.  VAT applies.</t>
        </r>
      </text>
    </comment>
    <comment ref="O110" authorId="0" shapeId="0" xr:uid="{87EC20DE-D5D1-43F9-8021-59F892DD208A}">
      <text>
        <r>
          <rPr>
            <sz val="9"/>
            <color indexed="81"/>
            <rFont val="Tahoma"/>
            <family val="2"/>
          </rPr>
          <t xml:space="preserve">Install Bench
</t>
        </r>
      </text>
    </comment>
    <comment ref="A111" authorId="0" shapeId="0" xr:uid="{752378F7-7524-4E8F-8C34-8DEEB0E87CE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invoice made out to PC, so can't reclaim VAT</t>
        </r>
      </text>
    </comment>
    <comment ref="F111" authorId="0" shapeId="0" xr:uid="{3B7A7BA4-76A5-4727-9E1A-0E431B22FBD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not explicitly noted in April minutes:  Need to Cross check with April Statement (on old Bank Account).</t>
        </r>
      </text>
    </comment>
    <comment ref="A112" authorId="0" shapeId="0" xr:uid="{B11986C1-0B63-4FC6-B020-F41E467A0E6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invoice made out to PC, so can't reclaim VAT</t>
        </r>
      </text>
    </comment>
    <comment ref="L112" authorId="66" shapeId="0" xr:uid="{83A30678-4456-4683-8FCD-CF34C9B0F40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Total £922.78 Bank Payment. consisting of Pay £746.40+£26.00 Allowance = £772.40; in same payment was £2.50 for Card, and defibrillator for £119.99.  This totals £894.89, leaving a missing item of £27.89 to be accounted for.
</t>
      </text>
    </comment>
    <comment ref="L117" authorId="0" shapeId="0" xr:uid="{6615F05F-1FC6-4F65-B00B-0B99673ACB3D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Refund Payment in October 2025 was £5,166.89.</t>
        </r>
      </text>
    </comment>
    <comment ref="F135" authorId="67" shapeId="0" xr:uid="{C027932F-53F2-43F6-8D2E-6E6E00DBB10E}">
      <text>
        <t>[Threaded comment]
Your version of Excel allows you to read this threaded comment; however, any edits to it will get removed if the file is opened in a newer version of Excel. Learn more: https://go.microsoft.com/fwlink/?linkid=870924
Comment:
    Received early in financial year.  Exact Date not known.</t>
      </text>
    </comment>
    <comment ref="L135" authorId="68" shapeId="0" xr:uid="{CC1CEDDC-20C5-4C81-9A37-F5D3ACE553DE}">
      <text>
        <t>[Threaded comment]
Your version of Excel allows you to read this threaded comment; however, any edits to it will get removed if the file is opened in a newer version of Excel. Learn more: https://go.microsoft.com/fwlink/?linkid=870924
Comment:
    Received 06/10/25</t>
      </text>
    </comment>
    <comment ref="L144" authorId="0" shapeId="0" xr:uid="{28EC8C92-DABB-401E-9D48-CA3F6B47AA3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Confirmed  as £ 54,760 and £68.05 from here https://www.middevon.gov.uk/residents/council-tax/council-tax-bandings-and-how-your-tax-is-spent/charges-for-202526/parish-precepts-202526/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 Hedges</author>
    <author>tc={B92AE26A-530B-4C91-8854-B743F536EC32}</author>
    <author>tc={1D73F5AF-3DCC-4009-B73B-2EFE48C5C994}</author>
    <author>tc={B2FA402A-2D03-462A-87C7-5D5C1790F0A1}</author>
    <author>tc={4BDF8B8E-9BC4-4D73-BADE-0FDC6E91466B}</author>
    <author>tc={55C8311E-A5ED-4B2C-9FB9-78546A3E588B}</author>
    <author>tc={B54C62D0-EA12-4346-A333-B807C10BB958}</author>
    <author>tc={447282D6-16CD-4557-AD24-066986570199}</author>
    <author>tc={920A4FA5-52C6-45ED-98BB-FD603C066557}</author>
    <author>tc={FE7D999D-E48C-4ED8-8FAC-BB3A3721302A}</author>
    <author>tc={206E64C1-8114-4B15-AC6E-3B89EAFEF5EE}</author>
    <author>tc={ED94AE98-11BC-4CE1-B63C-758C9F367CE5}</author>
    <author>tc={CCA05F64-F3B0-4F5E-8265-D47BBCD81A60}</author>
    <author>tc={00C4D59C-5512-41BE-A552-17D801A9DA32}</author>
    <author>tc={441DBB32-0A9B-4A9D-8AB8-A79C804D14D4}</author>
    <author>tc={A45AF742-C6C5-4668-A042-13B9234B0E10}</author>
    <author>tc={CBEC0CCD-A43E-469E-89E7-1C798E3E5E91}</author>
    <author>tc={C593126D-3A80-469C-83B5-8DCC6BD54AA1}</author>
    <author>tc={2FD99456-4E9B-4758-883F-7BAD5D31AA92}</author>
    <author>tc={F7A73C0C-A5B8-4686-9E6F-3D2EDAA7A2EC}</author>
    <author>tc={F6DE3F53-5A78-4D42-A01E-BC15BBF9372E}</author>
    <author>tc={56610607-99FF-43C7-83D4-1EBCA08B6ECE}</author>
    <author>tc={628CA375-CEC4-4E54-90FF-6D5D907F7EC6}</author>
    <author>tc={D39F88F5-B353-4C1D-BEBD-C4683ECE1C8E}</author>
    <author>tc={06796FDC-4C3E-4D61-83F2-7D59C7EF384C}</author>
    <author>tc={4602D148-E646-417F-9D93-6E3E029DC936}</author>
    <author>tc={87AAD782-F8E9-43B7-9266-91E220F7C198}</author>
    <author>tc={94D74BDF-E383-44D6-8EA2-CFF2C7B58F19}</author>
    <author>tc={6CF992B2-AC48-4E2D-B536-5611FBC762C8}</author>
    <author>tc={ED7EB8A9-B5F7-407B-8E4D-2EE855F74D52}</author>
    <author>tc={66C5F4D8-4F61-408B-AA1A-7F8325B13F33}</author>
    <author>tc={59A937E4-D853-4344-8796-F9C12558069B}</author>
    <author>tc={6C10F03D-E00E-4DF2-BA99-08D0C550A279}</author>
    <author>tc={787EE7B1-9C4F-4980-843E-038430CEB5F1}</author>
    <author>tc={04095540-AF4E-47AB-B6CF-6CB7DCBDBA60}</author>
    <author>tc={A3927DDF-8692-4FB6-BF18-FC40C00455E4}</author>
    <author>tc={B500BE07-6B83-4D0C-BA12-0D22FDE60638}</author>
    <author>tc={7272170C-C14C-4717-8D56-DF8CF600F839}</author>
    <author>tc={BEF799FA-094A-4017-B777-62FA4FA4F98C}</author>
    <author>tc={1A237073-5874-4941-A69A-E80EB4A7F9F0}</author>
    <author>tc={E3061556-8165-4849-8C0D-5EBE2F720D6C}</author>
    <author>tc={7CAE02FF-395C-443B-B343-CEC3B4D8BA80}</author>
    <author>tc={62EA47CA-9C1C-45EA-A8BD-9A9BC004C01C}</author>
    <author>tc={95E1A324-49E9-4F06-AF00-D9CC8CB4DF34}</author>
    <author>tc={73449735-254A-47F5-A07A-C66EC196F890}</author>
    <author>tc={E9774820-C271-41B1-AFC1-C1912AC75639}</author>
    <author>tc={768A0084-A859-4CA3-9E30-DBBCA74D1543}</author>
    <author>tc={A495B231-528E-441D-B351-F813D9EF0ABB}</author>
    <author>tc={23B8682F-C6F5-4138-9113-580E8C575307}</author>
    <author>tc={5DD0B908-6048-4E0D-A5D9-949FB0424282}</author>
    <author>tc={5D778EDB-F254-4ED7-A0D2-8EB8329E1396}</author>
    <author>tc={454538D6-153A-4B9E-A407-023039C6AAE1}</author>
    <author>tc={55E25549-5A9E-4BE7-AE79-B6BD118B174D}</author>
    <author>tc={D37A9583-9C13-4869-867D-9B62FB76BC0E}</author>
    <author>tc={8CBD4A3B-B73D-4DDD-831E-4CEAA8F4F186}</author>
    <author>tc={16A45811-2293-4B18-B81E-E7BD7FB2E30A}</author>
    <author>tc={3BC43076-92E8-430A-806B-884E9A54CCA6}</author>
    <author>tc={C6117A31-329D-4465-8B3A-F7EB0E367796}</author>
    <author>tc={E6D6A04E-1318-4490-A951-4BF6D46E3CEF}</author>
    <author>tc={20707D40-B228-47EF-A254-C40A49D60405}</author>
    <author>tc={E4736C21-05E0-404A-BBBD-2622A078DEEF}</author>
    <author>tc={00703291-2B9B-42BB-8AFF-896430B0B242}</author>
    <author>tc={38347154-5CB2-49ED-BD55-B74EF3C44F82}</author>
    <author>tc={CD074D90-E65D-4B35-A0FF-F00B8CE1A3F7}</author>
    <author>tc={BC03618E-02FE-4721-86AC-5E7CE9A7B2D8}</author>
    <author>tc={F5DC99BA-D00A-4297-9B74-5F91C3E9BA2B}</author>
    <author>tc={E906F1EE-B837-460B-9D4B-623D3A5B7B01}</author>
    <author>tc={F3576D3E-743E-47E3-92CB-DA2B792F7291}</author>
    <author>tc={53792F91-7212-4047-97E8-7676ABB3DDED}</author>
    <author>tc={9CAFBCB5-D619-4F7E-9EC1-6E9A387C319A}</author>
    <author>tc={0335CB0A-C5CF-4C04-A344-69F299926314}</author>
    <author>tc={235EE9D5-243C-4EFD-A49A-EE9B6A2E3BF9}</author>
    <author>tc={D4FE0B3C-97D8-4DAA-BDD9-D51E590BCD3E}</author>
    <author>tc={69C5BBAE-B66A-4381-B221-1C08483DDE81}</author>
    <author>tc={20873D43-A829-46BC-B1DF-C9035DF4ACF4}</author>
    <author>tc={A7C28066-4750-432A-BFEA-F9242B1EA171}</author>
    <author>tc={9FF028E8-A141-4A8D-995A-2138DF5595F0}</author>
    <author>tc={663584FD-4AFF-4F0B-AB21-B2A0E779EF7E}</author>
    <author>tc={F5C7E0FF-F50D-4443-8DD6-05430351946C}</author>
    <author>tc={29EFA8FC-181A-4B95-B690-04D64ED4D15E}</author>
    <author>tc={921F85D6-E392-4D4F-8B6D-34AC3C043031}</author>
    <author>tc={B0FD06B5-102F-4E78-85A9-4D4315A05D33}</author>
    <author>tc={FDD8960E-6F17-4A10-8EF6-A8FD1434824D}</author>
    <author>tc={1E7534D4-D136-4FDA-98AC-CFBE573334F4}</author>
    <author>tc={5D8EB534-DA53-4A6C-AC5D-171ABDEF1CA2}</author>
    <author>tc={D07EBC0D-8BEB-4481-A09D-2530DF04D2C4}</author>
    <author>tc={2F6ADFB1-3503-46C3-B8C3-183411F5CA18}</author>
    <author>tc={F76FA19E-9AFD-40B6-8778-443A4104942F}</author>
    <author>tc={3DF568D1-F576-4F92-8077-3BD63FFCC21F}</author>
    <author>tc={48D16155-94A0-47B8-91C6-DB9F6B91E964}</author>
    <author>tc={027D93CF-97CB-404D-995E-A2BBDE5DC9F2}</author>
    <author>tc={B7C07B2A-9FD9-4F11-99EF-405146A0018A}</author>
    <author>tc={0B25AA02-31CF-49B0-A305-142318660F6E}</author>
    <author>tc={2A82585C-CE9F-4743-944B-FDD46FAA28DD}</author>
    <author>tc={23115A06-7810-4ADE-9080-919E1D2D205A}</author>
    <author>tc={7623A5AD-450C-43C7-BED1-7E34B3A1C7E4}</author>
    <author>tc={621D0CB0-F34D-4C24-A09D-4FA352B03F5D}</author>
    <author>tc={FC24B23F-53C0-4459-830C-64D0EDA1042B}</author>
    <author>tc={35A7A2EB-84E0-48AF-837B-1DB01B19E048}</author>
    <author>tc={DEE74B11-9694-4A8D-987B-2CBB038DED43}</author>
    <author>tc={8478872D-74A9-4AA8-AA52-14FAA1F1C042}</author>
    <author>tc={B97C368E-355E-47C9-9DC5-99951F95BA2B}</author>
    <author>tc={2C9BE515-744E-4339-810B-542BBF1E4DCE}</author>
    <author>tc={94FA033B-4A1B-4D1A-9A36-2C7DEB301853}</author>
    <author>tc={5AC34041-F68B-461D-8B37-F797FA82F76F}</author>
    <author>tc={00D6BFD8-D3A7-44F0-BAEF-9FE8599444ED}</author>
    <author>tc={6C9B3B24-3C9B-44E8-AF9C-D32E911F8557}</author>
    <author>tc={88CAE213-1F97-4881-AE24-FC17FA0BCE3F}</author>
    <author>tc={094C89B8-C3FE-4F4B-9EFA-D98069561E9D}</author>
    <author>tc={B9DA9FB0-4D6D-4B87-A0F1-409010E3E20E}</author>
    <author>tc={75C2A2EF-A45E-4351-A6A9-BE413C71D160}</author>
    <author>tc={9369FDCC-A370-42BA-87BB-B20BBFC90110}</author>
  </authors>
  <commentList>
    <comment ref="S2" authorId="0" shapeId="0" xr:uid="{CE3EC7BD-F03B-4D78-81DF-264796DD7C6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Items in Red are overspends</t>
        </r>
      </text>
    </comment>
    <comment ref="F4" authorId="1" shapeId="0" xr:uid="{B92AE26A-530B-4C91-8854-B743F536EC3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£830.13 for Clerk’s Wages of £716.16, Ink Cartridges £17.98 and McAfee Anti Virus £95.99.
</t>
      </text>
    </comment>
    <comment ref="G4" authorId="2" shapeId="0" xr:uid="{1D73F5AF-3DCC-4009-B73B-2EFE48C5C994}">
      <text>
        <t>[Threaded comment]
Your version of Excel allows you to read this threaded comment; however, any edits to it will get removed if the file is opened in a newer version of Excel. Learn more: https://go.microsoft.com/fwlink/?linkid=870924
Comment:
    Clerk Wages £732.88 paid on 14/05/25.</t>
      </text>
    </comment>
    <comment ref="H4" authorId="3" shapeId="0" xr:uid="{B2FA402A-2D03-462A-87C7-5D5C1790F0A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Clerk’s wages of £708.16 paid on 04/06/25.</t>
      </text>
    </comment>
    <comment ref="I4" authorId="4" shapeId="0" xr:uid="{4BDF8B8E-9BC4-4D73-BADE-0FDC6E91466B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by bank of £789.68 comprising £753.12 Pay, and mail (May £12.36, June £12.10, July, £12.10) £36.56.  This is the point at which we switch from paying in arrears to paying in advance.</t>
      </text>
    </comment>
    <comment ref="J4" authorId="5" shapeId="0" xr:uid="{55C8311E-A5ED-4B2C-9FB9-78546A3E588B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£814.07 in total for Clerk’s wages (£803.08), Sim Card £0.99, Top Up £10.00).</t>
      </text>
    </comment>
    <comment ref="K4" authorId="6" shapeId="0" xr:uid="{B54C62D0-EA12-4346-A333-B807C10BB95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£877.59, consisting of £839.48 for salary and backpay, plus £26.00 for allowances (totalling £865.48), and £12.10 for email. </t>
      </text>
    </comment>
    <comment ref="L4" authorId="7" shapeId="0" xr:uid="{447282D6-16CD-4557-AD24-066986570199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£922.78 Bank Payment. consisting of Pay £746.40+£26.00 Allowance = £772.40; in same payment was £2.50 for Card, £12.10 for email, and £15.79 for paper.  Finally, the defibrillator case for £119.99.  This totals £894.89, leaving a missing item of £27.89 to be accounted for.</t>
      </text>
    </comment>
    <comment ref="M4" authorId="8" shapeId="0" xr:uid="{920A4FA5-52C6-45ED-98BB-FD603C066557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06/11/25, £784.5, consisting of £772.40 for Salary and Allowances and £12.10 for Clerk's email.</t>
      </text>
    </comment>
    <comment ref="N4" authorId="9" shapeId="0" xr:uid="{FE7D999D-E48C-4ED8-8FAC-BB3A3721302A}">
      <text>
        <t>[Threaded comment]
Your version of Excel allows you to read this threaded comment; however, any edits to it will get removed if the file is opened in a newer version of Excel. Learn more: https://go.microsoft.com/fwlink/?linkid=870924
Comment:
    £3.49 Laminating Pouches + £12.10 Email + 772.50 totalling Bank Payment of £787.99 on 02/12/25.</t>
      </text>
    </comment>
    <comment ref="O4" authorId="10" shapeId="0" xr:uid="{206E64C1-8114-4B15-AC6E-3B89EAFEF5EE}">
      <text>
        <t>[Threaded comment]
Your version of Excel allows you to read this threaded comment; however, any edits to it will get removed if the file is opened in a newer version of Excel. Learn more: https://go.microsoft.com/fwlink/?linkid=870924
Comment:
    £784.50 paid on 07/01/26, by bank transfer comprising Clerk’s wages of £772.40 and £12.10 for email costs.</t>
      </text>
    </comment>
    <comment ref="P4" authorId="11" shapeId="0" xr:uid="{ED94AE98-11BC-4CE1-B63C-758C9F367CE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of £784.30, comprising £772.20 wages+12.10 expenses.</t>
      </text>
    </comment>
    <comment ref="Q4" authorId="12" shapeId="0" xr:uid="{CCA05F64-F3B0-4F5E-8265-D47BBCD81A6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Clerk on 03/03/26 of £784.50 comprising £772.20 for wages etc and £12.10 for Email expenses.</t>
      </text>
    </comment>
    <comment ref="L5" authorId="0" shapeId="0" xr:uid="{A6179A16-7A7C-48F5-ACCF-6F3635E349E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Figure taken from 30 Sep Payslip was £772.40.  Reconciliation is £814.08 (presumably the difference is the allowances)</t>
        </r>
      </text>
    </comment>
    <comment ref="U5" authorId="0" shapeId="0" xr:uid="{73722532-FD2A-4898-B1FF-27925FB47F3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rate in cell W2
</t>
        </r>
      </text>
    </comment>
    <comment ref="F6" authorId="13" shapeId="0" xr:uid="{00C4D59C-5512-41BE-A552-17D801A9DA32}">
      <text>
        <t>[Threaded comment]
Your version of Excel allows you to read this threaded comment; however, any edits to it will get removed if the file is opened in a newer version of Excel. Learn more: https://go.microsoft.com/fwlink/?linkid=870924
Comment:
    09/05/25  Bank Payment to HMRC for Sheila’s stuff.</t>
      </text>
    </comment>
    <comment ref="I6" authorId="14" shapeId="0" xr:uid="{441DBB32-0A9B-4A9D-8AB8-A79C804D14D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£744.73 for Employer’s PAYE NI on 09/07/25.</t>
      </text>
    </comment>
    <comment ref="L6" authorId="15" shapeId="0" xr:uid="{A45AF742-C6C5-4668-A042-13B9234B0E1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HMRC for Employers NI for Clerk for 3 months, paid on 08/10/25.</t>
      </text>
    </comment>
    <comment ref="O6" authorId="16" shapeId="0" xr:uid="{CBEC0CCD-A43E-469E-89E7-1C798E3E5E9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of £775.44 paid on 07/01/26 for Clerk’s NI and Income Tax.</t>
      </text>
    </comment>
    <comment ref="U7" authorId="0" shapeId="0" xr:uid="{DF6DC2E8-3870-44C7-B444-4D8C5AF8755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F8" authorId="0" shapeId="0" xr:uid="{0DD9DB55-307F-46BE-B73C-0C7D4C86658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Payment of £830.13 for Clerk’s Wages of £716.16, Ink Cartridges £17.98 and McAfee Anti Virus £95.99.</t>
        </r>
      </text>
    </comment>
    <comment ref="G8" authorId="17" shapeId="0" xr:uid="{C593126D-3A80-469C-83B5-8DCC6BD54AA1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£95.59 for printer cartridges to Simon Hedges who bought them for Sheila.  No VAT Claimable. Paid on 15/05/25.</t>
      </text>
    </comment>
    <comment ref="J8" authorId="18" shapeId="0" xr:uid="{2FD99456-4E9B-4758-883F-7BAD5D31AA92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£95.59 for printer cartridges to Simon Hedges who bought them for Sheila.  No VAT Claimable. Paid on 06/08/25.</t>
      </text>
    </comment>
    <comment ref="J9" authorId="19" shapeId="0" xr:uid="{F7A73C0C-A5B8-4686-9E6F-3D2EDAA7A2EC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£814.07 in total for Clerk’s wages (£803.08), Sim Card £0.99, Top Up £10.00).</t>
      </text>
    </comment>
    <comment ref="N10" authorId="20" shapeId="0" xr:uid="{F6DE3F53-5A78-4D42-A01E-BC15BBF9372E}">
      <text>
        <t>[Threaded comment]
Your version of Excel allows you to read this threaded comment; however, any edits to it will get removed if the file is opened in a newer version of Excel. Learn more: https://go.microsoft.com/fwlink/?linkid=870924
Comment:
    £3.49 Laminating Pouches + £12.10 Email _772.50 totalling Bank Payment of £787.99 on 02/12/25.</t>
      </text>
    </comment>
    <comment ref="I11" authorId="21" shapeId="0" xr:uid="{56610607-99FF-43C7-83D4-1EBCA08B6ECE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by bank of £789.68 comprising £753.12 Pay, and mail (May £12.36, June £12.10, July, £12.10) £36.56.  This is the point at which we switch from paying in arrears to paying in advance.</t>
      </text>
    </comment>
    <comment ref="K11" authorId="22" shapeId="0" xr:uid="{628CA375-CEC4-4E54-90FF-6D5D907F7EC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£877.59, consisting of £839.48 for salary and backpay, plus £26.00 for allowances (totalling £865.48), and £12.10 for email. </t>
      </text>
    </comment>
    <comment ref="L11" authorId="0" shapeId="0" xr:uid="{C43A60E5-D49C-4270-8919-E2FA03F6864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payment noted in minutes or Bank Account.  Why?</t>
        </r>
      </text>
    </comment>
    <comment ref="M11" authorId="23" shapeId="0" xr:uid="{D39F88F5-B353-4C1D-BEBD-C4683ECE1C8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06/11/25, £784.5, consisting of £772.40 for Salary and Allowances and £12.10 for Clerk's email.</t>
      </text>
    </comment>
    <comment ref="N11" authorId="24" shapeId="0" xr:uid="{06796FDC-4C3E-4D61-83F2-7D59C7EF384C}">
      <text>
        <t>[Threaded comment]
Your version of Excel allows you to read this threaded comment; however, any edits to it will get removed if the file is opened in a newer version of Excel. Learn more: https://go.microsoft.com/fwlink/?linkid=870924
Comment:
    £3.49 Laminating Pouches + £12.10 Email _772.50 totalling Bank Payment of £787.99 on 02/12/25.</t>
      </text>
    </comment>
    <comment ref="O11" authorId="25" shapeId="0" xr:uid="{4602D148-E646-417F-9D93-6E3E029DC936}">
      <text>
        <t>[Threaded comment]
Your version of Excel allows you to read this threaded comment; however, any edits to it will get removed if the file is opened in a newer version of Excel. Learn more: https://go.microsoft.com/fwlink/?linkid=870924
Comment:
    £784.50 paid on 07/01/26, by bank transfer comprising Clerk’s wages of £772.40 and £12.10 for email costs.</t>
      </text>
    </comment>
    <comment ref="P11" authorId="26" shapeId="0" xr:uid="{87AAD782-F8E9-43B7-9266-91E220F7C19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of £784.30, comprising £772.20 wages+12.10 expenses.</t>
      </text>
    </comment>
    <comment ref="U12" authorId="0" shapeId="0" xr:uid="{7B71EE60-132A-4D10-BFC2-05775661BB6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F13" authorId="0" shapeId="0" xr:uid="{6F03E865-962C-437C-A5A9-8DF1110057E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Payment of £830.13 for Clerk’s Wages of £716.16, Ink Cartridges £17.98 and McAfee Anti Virus £95.99.</t>
        </r>
      </text>
    </comment>
    <comment ref="L16" authorId="0" shapeId="0" xr:uid="{91F974CA-CAA5-48BE-9DC1-229E8E72F98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Card for Football Club
Total £922.78 Bank Payment. consisting of Pay £746.40+£26.00 Allowance = £772.40; in same payment was £2.50 for Card, and defibrillator for £119.99.  This totals £894.89, leaving a missing item of £27.89 to be accounted for.</t>
        </r>
      </text>
    </comment>
    <comment ref="U18" authorId="0" shapeId="0" xr:uid="{0C458B28-F70C-4091-B4FB-55283B18F20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F19" authorId="27" shapeId="0" xr:uid="{94D74BDF-E383-44D6-8EA2-CFF2C7B58F19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on 09/04/25 for Unity Trust ongoing fees.</t>
      </text>
    </comment>
    <comment ref="G19" authorId="28" shapeId="0" xr:uid="{6CF992B2-AC48-4E2D-B536-5611FBC762C8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to Unity Trust Bank for £6.00 fees on 31/05/25.</t>
      </text>
    </comment>
    <comment ref="H19" authorId="29" shapeId="0" xr:uid="{ED7EB8A9-B5F7-407B-8E4D-2EE855F74D52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to Unity Trust Bank for £6.00 fees on 30/06/25.</t>
      </text>
    </comment>
    <comment ref="I19" authorId="30" shapeId="0" xr:uid="{66C5F4D8-4F61-408B-AA1A-7F8325B13F33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of Bank Fees £6.00 on 31/07/25</t>
      </text>
    </comment>
    <comment ref="J19" authorId="31" shapeId="0" xr:uid="{59A937E4-D853-4344-8796-F9C12558069B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paid by Direct Debit to Microsoft on 31/08/25.</t>
      </text>
    </comment>
    <comment ref="K19" authorId="32" shapeId="0" xr:uid="{6C10F03D-E00E-4DF2-BA99-08D0C550A279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paid by Direct Debit to Microsoft on 30/09/25.</t>
      </text>
    </comment>
    <comment ref="L19" authorId="33" shapeId="0" xr:uid="{787EE7B1-9C4F-4980-843E-038430CEB5F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£6.00 to Unity Trust  on 24/10/25.</t>
      </text>
    </comment>
    <comment ref="M19" authorId="0" shapeId="0" xr:uid="{EE04B622-BAB0-49A9-AC87-DDF42ECF3A07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£6.00 bank payment on 30/11/25</t>
        </r>
      </text>
    </comment>
    <comment ref="O19" authorId="34" shapeId="0" xr:uid="{04095540-AF4E-47AB-B6CF-6CB7DCBDBA60}">
      <text>
        <t>[Threaded comment]
Your version of Excel allows you to read this threaded comment; however, any edits to it will get removed if the file is opened in a newer version of Excel. Learn more: https://go.microsoft.com/fwlink/?linkid=870924
Comment:
    £6 Service Charge taken on 31/01/26.</t>
      </text>
    </comment>
    <comment ref="P19" authorId="35" shapeId="0" xr:uid="{A3927DDF-8692-4FB6-BF18-FC40C00455E4}">
      <text>
        <t>[Threaded comment]
Your version of Excel allows you to read this threaded comment; however, any edits to it will get removed if the file is opened in a newer version of Excel. Learn more: https://go.microsoft.com/fwlink/?linkid=870924
Comment:
    Fees taken on £28/02/26.</t>
      </text>
    </comment>
    <comment ref="Q20" authorId="36" shapeId="0" xr:uid="{B500BE07-6B83-4D0C-BA12-0D22FDE6063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was £600 in here as a payment to Unity Trust to setup the account.  This was an error:  the payment was simply a transfer from our own Natwest Account to our own Unity Trust account, not an actual payment.</t>
      </text>
    </comment>
    <comment ref="U22" authorId="0" shapeId="0" xr:uid="{486013AC-1911-44CD-BBE0-A1780FA2D17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£7.  Unity trust have advised that monthly charges from Feb 2026 will be £7 a month.  We can reclaim VAT on this, but this can cover occasional other minor charges.</t>
        </r>
      </text>
    </comment>
    <comment ref="B23" authorId="37" shapeId="0" xr:uid="{7272170C-C14C-4717-8D56-DF8CF600F839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H23" authorId="38" shapeId="0" xr:uid="{BEF799FA-094A-4017-B777-62FA4FA4F98C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Debit of £47.00 for Information Commissioner on 26/05/25.</t>
      </text>
    </comment>
    <comment ref="Q25" authorId="39" shapeId="0" xr:uid="{1A237073-5874-4941-A69A-E80EB4A7F9F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paid on 03/03/26 to Clerk.</t>
      </text>
    </comment>
    <comment ref="A26" authorId="0" shapeId="0" xr:uid="{AF5C2EB2-62B3-449B-9D70-3FE16F94E21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sure if VAT included (hence Blue)</t>
        </r>
      </text>
    </comment>
    <comment ref="B28" authorId="40" shapeId="0" xr:uid="{E3061556-8165-4849-8C0D-5EBE2F720D6C}">
      <text>
        <t>[Threaded comment]
Your version of Excel allows you to read this threaded comment; however, any edits to it will get removed if the file is opened in a newer version of Excel. Learn more: https://go.microsoft.com/fwlink/?linkid=870924
Comment:
    SLCC - £120, ICO £40</t>
      </text>
    </comment>
    <comment ref="C28" authorId="0" shapeId="0" xr:uid="{885EEE95-85AB-4C0F-8D5A-368E47953DB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Budget for 2024/25 was £583 for DALC and £160 for the remainder, totalling £743.
</t>
        </r>
      </text>
    </comment>
    <comment ref="U28" authorId="0" shapeId="0" xr:uid="{3546DAE4-75EE-4BEB-8200-008F044479C3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Add in the £168 for DALC which in 25/26 was deducted by MDDC from the Precept, and so doesn't appear in the in-year Budget, but must be added back when setting the precept.  Clerk will ask for this to change in 2026/27 so that we pay the amount as we would for anything else, as this simplifies matters.
</t>
        </r>
      </text>
    </comment>
    <comment ref="N29" authorId="41" shapeId="0" xr:uid="{7CAE02FF-395C-443B-B343-CEC3B4D8BA80}">
      <text>
        <t>[Threaded comment]
Your version of Excel allows you to read this threaded comment; however, any edits to it will get removed if the file is opened in a newer version of Excel. Learn more: https://go.microsoft.com/fwlink/?linkid=870924
Comment:
    £339.96 Paid by Bank Transfer on 02/12/25.</t>
      </text>
    </comment>
    <comment ref="U31" authorId="42" shapeId="0" xr:uid="{62EA47CA-9C1C-45EA-A8BD-9A9BC004C01C}">
      <text>
        <t>[Threaded comment]
Your version of Excel allows you to read this threaded comment; however, any edits to it will get removed if the file is opened in a newer version of Excel. Learn more: https://go.microsoft.com/fwlink/?linkid=870924
Comment:
    £500 Plus 4% inflation exc VAT.</t>
      </text>
    </comment>
    <comment ref="A32" authorId="0" shapeId="0" xr:uid="{324876A9-41F6-491F-9B6B-8D2A9266F7F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Not VAT paid (hence green)</t>
        </r>
      </text>
    </comment>
    <comment ref="G32" authorId="43" shapeId="0" xr:uid="{95E1A324-49E9-4F06-AF00-D9CC8CB4DF3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Zurich insurance for SPC public liability insurance £819.95 on 14/05/25.</t>
      </text>
    </comment>
    <comment ref="U33" authorId="0" shapeId="0" xr:uid="{363CAFFC-D8E4-4E3B-A88E-368680E0D01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I34" authorId="44" shapeId="0" xr:uid="{73449735-254A-47F5-A07A-C66EC196F890}">
      <text>
        <t>[Threaded comment]
Your version of Excel allows you to read this threaded comment; however, any edits to it will get removed if the file is opened in a newer version of Excel. Learn more: https://go.microsoft.com/fwlink/?linkid=870924
Comment:
    First 3 direct monthsworth of Direct Debit Payments £90 on 24/07/25.</t>
      </text>
    </comment>
    <comment ref="J34" authorId="45" shapeId="0" xr:uid="{E9774820-C271-41B1-AFC1-C1912AC75639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£30.00 to Westcott on 26/08/25.</t>
      </text>
    </comment>
    <comment ref="K34" authorId="46" shapeId="0" xr:uid="{768A0084-A859-4CA3-9E30-DBBCA74D1543}">
      <text>
        <t>[Threaded comment]
Your version of Excel allows you to read this threaded comment; however, any edits to it will get removed if the file is opened in a newer version of Excel. Learn more: https://go.microsoft.com/fwlink/?linkid=870924
Comment:
    £30 paid by direct debit to Westcott on 03/09/25.</t>
      </text>
    </comment>
    <comment ref="L34" authorId="47" shapeId="0" xr:uid="{A495B231-528E-441D-B351-F813D9EF0ABB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£30.00 to Westcott, paid 24/10/25.</t>
      </text>
    </comment>
    <comment ref="M34" authorId="48" shapeId="0" xr:uid="{23B8682F-C6F5-4138-9113-580E8C575307}">
      <text>
        <t>[Threaded comment]
Your version of Excel allows you to read this threaded comment; however, any edits to it will get removed if the file is opened in a newer version of Excel. Learn more: https://go.microsoft.com/fwlink/?linkid=870924
Comment:
    £30 paid by Bank Transfer on 24/11/25</t>
      </text>
    </comment>
    <comment ref="N34" authorId="49" shapeId="0" xr:uid="{5DD0B908-6048-4E0D-A5D9-949FB042428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£300.00 Paid by Bank Transfer on 02/12/25 as back payment for 2024/25.  Remaining £30 paid by Direct Debit on 24/12/25..
</t>
      </text>
    </comment>
    <comment ref="O34" authorId="50" shapeId="0" xr:uid="{5D778EDB-F254-4ED7-A0D2-8EB8329E1396}">
      <text>
        <t>[Threaded comment]
Your version of Excel allows you to read this threaded comment; however, any edits to it will get removed if the file is opened in a newer version of Excel. Learn more: https://go.microsoft.com/fwlink/?linkid=870924
Comment:
    £30 paid to Westcotts by Direct Debit, 26/01/26.</t>
      </text>
    </comment>
    <comment ref="P34" authorId="51" shapeId="0" xr:uid="{454538D6-153A-4B9E-A407-023039C6AAE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on 24/02/26 £30.00.</t>
      </text>
    </comment>
    <comment ref="G37" authorId="52" shapeId="0" xr:uid="{55E25549-5A9E-4BE7-AE79-B6BD118B174D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Penny Clapham for Internal Audit £103.00 on 14/05/25.</t>
      </text>
    </comment>
    <comment ref="U38" authorId="0" shapeId="0" xr:uid="{4BC13823-CAEB-4B1F-B21B-60C10C6DEF6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J39" authorId="53" shapeId="0" xr:uid="{D37A9583-9C13-4869-867D-9B62FB76BC0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to PKF (Auditing) of £378.00 on 06/08/25.  </t>
      </text>
    </comment>
    <comment ref="L40" authorId="54" shapeId="0" xr:uid="{8CBD4A3B-B73D-4DDD-831E-4CEAA8F4F186}">
      <text>
        <t>[Threaded comment]
Your version of Excel allows you to read this threaded comment; however, any edits to it will get removed if the file is opened in a newer version of Excel. Learn more: https://go.microsoft.com/fwlink/?linkid=870924
Comment:
    Confirmed by Clerk at November meeting that we can reclaim VAT on this item.</t>
      </text>
    </comment>
    <comment ref="U41" authorId="0" shapeId="0" xr:uid="{6B5F0B6A-0E4E-4CE6-9A9F-712B4A21B5F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G49" authorId="55" shapeId="0" xr:uid="{16A45811-2293-4B18-B81E-E7BD7FB2E30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Rhino Play for Repairs to Children’s Play Area £6,805.20 on 14/05/25.</t>
      </text>
    </comment>
    <comment ref="J50" authorId="56" shapeId="0" xr:uid="{3BC43076-92E8-430A-806B-884E9A54CCA6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£781.68 to Evolution Skate Parks on 06/08/25.</t>
      </text>
    </comment>
    <comment ref="I51" authorId="57" shapeId="0" xr:uid="{C6117A31-329D-4465-8B3A-F7EB0E367796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£13,968.00 to White Rose Tarmacadam for Skate Park resurfacing on 09/07/25.</t>
      </text>
    </comment>
    <comment ref="Q52" authorId="0" shapeId="0" xr:uid="{D5562284-DCAE-49AF-890F-5CE987111DB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Big Rec repairs including swinging gate.</t>
        </r>
      </text>
    </comment>
    <comment ref="Z52" authorId="0" shapeId="0" xr:uid="{CD1A6C33-8C8A-451F-AD24-7F0AC0E6A19A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Big Rec repairs including swinging gate.</t>
        </r>
      </text>
    </comment>
    <comment ref="P53" authorId="58" shapeId="0" xr:uid="{E6D6A04E-1318-4490-A951-4BF6D46E3CEF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Simon Hedges on 05/02/26.</t>
      </text>
    </comment>
    <comment ref="M57" authorId="59" shapeId="0" xr:uid="{20707D40-B228-47EF-A254-C40A49D60405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Silverton Community Hall £184.00 on 06/11/25.  This consisted of £140 basic, plus extra bookings for additional meeting on 25/11/25 plus training meeting.</t>
      </text>
    </comment>
    <comment ref="I58" authorId="60" shapeId="0" xr:uid="{E4736C21-05E0-404A-BBBD-2622A078DEEF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£25.00 for Silverton Room 4 U for meeting of Broad Oak Working Group.</t>
      </text>
    </comment>
    <comment ref="U59" authorId="0" shapeId="0" xr:uid="{FB997F0A-E0F6-4F59-B75E-FC28C64A1FE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J63" authorId="61" shapeId="0" xr:uid="{00703291-2B9B-42BB-8AFF-896430B0B24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£980.40 to Smith of Derby for Clock annual maintenance paid on 06/08/24.</t>
      </text>
    </comment>
    <comment ref="U65" authorId="0" shapeId="0" xr:uid="{DF92B673-7251-4BF1-90A9-936608DCD17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O66" authorId="62" shapeId="0" xr:uid="{38347154-5CB2-49ED-BD55-B74EF3C44F82}">
      <text>
        <t>[Threaded comment]
Your version of Excel allows you to read this threaded comment; however, any edits to it will get removed if the file is opened in a newer version of Excel. Learn more: https://go.microsoft.com/fwlink/?linkid=870924
Comment:
    £250 paid by cheque on 15/01/26 for lawnmowing.</t>
      </text>
    </comment>
    <comment ref="U67" authorId="0" shapeId="0" xr:uid="{229AB568-6184-4FEF-94AB-08F7B79CEB5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N68" authorId="63" shapeId="0" xr:uid="{CD074D90-E65D-4B35-A0FF-F00B8CE1A3F7}">
      <text>
        <t>[Threaded comment]
Your version of Excel allows you to read this threaded comment; however, any edits to it will get removed if the file is opened in a newer version of Excel. Learn more: https://go.microsoft.com/fwlink/?linkid=870924
Comment:
    £25.00 Paid by Bank Transfer on 02/12/25.</t>
      </text>
    </comment>
    <comment ref="U69" authorId="0" shapeId="0" xr:uid="{CBEFEFE3-D175-4609-A3A4-10761C9ADFB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N70" authorId="64" shapeId="0" xr:uid="{BC03618E-02FE-4721-86AC-5E7CE9A7B2D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£250.00 Paid by Bank Transfer on 02/12/25 to AD Isaac
</t>
      </text>
    </comment>
    <comment ref="U71" authorId="0" shapeId="0" xr:uid="{C1C0CE97-69FC-44CC-90C2-6CB1E11E170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I72" authorId="65" shapeId="0" xr:uid="{F5DC99BA-D00A-4297-9B74-5F91C3E9BA2B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donation of £500.00 to Silverton Street Market on 09/07/25.</t>
      </text>
    </comment>
    <comment ref="U73" authorId="0" shapeId="0" xr:uid="{2ACC2CB3-78E6-406E-BF43-6295E8C5D3E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O74" authorId="66" shapeId="0" xr:uid="{E906F1EE-B837-460B-9D4B-623D3A5B7B01}">
      <text>
        <t>[Threaded comment]
Your version of Excel allows you to read this threaded comment; however, any edits to it will get removed if the file is opened in a newer version of Excel. Learn more: https://go.microsoft.com/fwlink/?linkid=870924
Comment:
    £260 payment to St Mary’s Church on 07/01/26 by bank  transfer as grant for Silverleigh magazine cutting.</t>
      </text>
    </comment>
    <comment ref="U75" authorId="0" shapeId="0" xr:uid="{9CABFCF7-6C67-4064-8AEB-2D53286C441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U78" authorId="0" shapeId="0" xr:uid="{AB16314A-884F-40FB-BD93-4F4B330CD474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A79" authorId="0" shapeId="0" xr:uid="{B09E7842-C38A-441A-BB7C-1355A8BDF4B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VAT at 5%.  May ignore?</t>
        </r>
      </text>
    </comment>
    <comment ref="F79" authorId="0" shapeId="0" xr:uid="{9CC3D6FF-AC87-4B8E-81EC-1A2371ACD88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Payment of £18.23 to Eon Next on 09/04/25.</t>
        </r>
      </text>
    </comment>
    <comment ref="G79" authorId="67" shapeId="0" xr:uid="{F3576D3E-743E-47E3-92CB-DA2B792F729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£17.64 for DAAT floodlights on 14/05/24.</t>
      </text>
    </comment>
    <comment ref="J79" authorId="68" shapeId="0" xr:uid="{53792F91-7212-4047-97E8-7676ABB3DDED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from Bank to Eon £54.23 on 06/08/25.</t>
      </text>
    </comment>
    <comment ref="O79" authorId="69" shapeId="0" xr:uid="{9CAFBCB5-D619-4F7E-9EC1-6E9A387C319A}">
      <text>
        <t>[Threaded comment]
Your version of Excel allows you to read this threaded comment; however, any edits to it will get removed if the file is opened in a newer version of Excel. Learn more: https://go.microsoft.com/fwlink/?linkid=870924
Comment:
    Payment of £2.74 and £21.37 to e-ON for Landing Lights on Big rec for Air Ambulance by bank transfer on 07/01/26.</t>
      </text>
    </comment>
    <comment ref="Q79" authorId="70" shapeId="0" xr:uid="{0335CB0A-C5CF-4C04-A344-69F29992631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e-on for Landing Floodlights electric of £23.62 and £17.42.</t>
      </text>
    </comment>
    <comment ref="U81" authorId="0" shapeId="0" xr:uid="{4F999DDD-4249-44B1-A656-6ED523EB6CA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Silverton Youth Football Club to refund in future.</t>
        </r>
      </text>
    </comment>
    <comment ref="F85" authorId="71" shapeId="0" xr:uid="{235EE9D5-243C-4EFD-A49A-EE9B6A2E3BF9}">
      <text>
        <t>[Threaded comment]
Your version of Excel allows you to read this threaded comment; however, any edits to it will get removed if the file is opened in a newer version of Excel. Learn more: https://go.microsoft.com/fwlink/?linkid=870924
Comment:
    09/05/25 Bank Payment of Handyman routine charges of £625,</t>
      </text>
    </comment>
    <comment ref="G85" authorId="72" shapeId="0" xr:uid="{D4FE0B3C-97D8-4DAA-BDD9-D51E590BCD3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£625.00 to Denis Marsden Handyman for routine work on 14/05/25.</t>
      </text>
    </comment>
    <comment ref="H85" authorId="73" shapeId="0" xr:uid="{69C5BBAE-B66A-4381-B221-1C08483DDE8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for Denis Marsden, Handyman of £625 on 04/06/25.</t>
      </text>
    </comment>
    <comment ref="I85" authorId="74" shapeId="0" xr:uid="{20873D43-A829-46BC-B1DF-C9035DF4ACF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 to Denis Marsden for routine Handyman work on 09/07/25.  Payments this month and onwards increase from £625 to £650 as he now keeps down weeds on the pond site and the church road bank.</t>
      </text>
    </comment>
    <comment ref="J85" authorId="75" shapeId="0" xr:uid="{A7C28066-4750-432A-BFEA-F9242B1EA171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£650.00 to Denis Marsden for routine handyman work on 06/08/25.</t>
      </text>
    </comment>
    <comment ref="K85" authorId="76" shapeId="0" xr:uid="{9FF028E8-A141-4A8D-995A-2138DF5595F0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£675.00 consisting of £650 routine work, plus £25.00 ad hoc to replace damaged slab in Big Rec, paid on 03/09/25.</t>
      </text>
    </comment>
    <comment ref="L85" authorId="77" shapeId="0" xr:uid="{663584FD-4AFF-4F0B-AB21-B2A0E779EF7E}">
      <text>
        <t>[Threaded comment]
Your version of Excel allows you to read this threaded comment; however, any edits to it will get removed if the file is opened in a newer version of Excel. Learn more: https://go.microsoft.com/fwlink/?linkid=870924
Comment:
    £650.00 paid to Denis Marsden on 08/10/25.</t>
      </text>
    </comment>
    <comment ref="M85" authorId="78" shapeId="0" xr:uid="{F5C7E0FF-F50D-4443-8DD6-05430351946C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£650.00 to Denis Marsden on 06/11/25.</t>
      </text>
    </comment>
    <comment ref="N85" authorId="79" shapeId="0" xr:uid="{29EFA8FC-181A-4B95-B690-04D64ED4D15E}">
      <text>
        <t>[Threaded comment]
Your version of Excel allows you to read this threaded comment; however, any edits to it will get removed if the file is opened in a newer version of Excel. Learn more: https://go.microsoft.com/fwlink/?linkid=870924
Comment:
    £650 paid by bank transfer on 02/12/25</t>
      </text>
    </comment>
    <comment ref="O85" authorId="80" shapeId="0" xr:uid="{921F85D6-E392-4D4F-8B6D-34AC3C043031}">
      <text>
        <t>[Threaded comment]
Your version of Excel allows you to read this threaded comment; however, any edits to it will get removed if the file is opened in a newer version of Excel. Learn more: https://go.microsoft.com/fwlink/?linkid=870924
Comment:
    £650 bank transfer to Denis Marsden handyman on 07/01/26.</t>
      </text>
    </comment>
    <comment ref="P85" authorId="81" shapeId="0" xr:uid="{B0FD06B5-102F-4E78-85A9-4D4315A05D33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Denis Marsden 05/02/26</t>
      </text>
    </comment>
    <comment ref="Q85" authorId="82" shapeId="0" xr:uid="{FDD8960E-6F17-4A10-8EF6-A8FD1434824D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Denis Marsden on 03/03/26.</t>
      </text>
    </comment>
    <comment ref="U86" authorId="0" shapeId="0" xr:uid="{8F678276-BDC1-4E6A-866D-2C9F43C86161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12 months of £772 plus inflation of 10%, as the amount will change in April 2026, and won't have increased for 2 years.  Will go out to competetive tender.
</t>
        </r>
      </text>
    </comment>
    <comment ref="V86" authorId="0" shapeId="0" xr:uid="{9DEE41F0-9A60-46C0-ADF7-D43280893962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10*current pay of £673
plus
2* 673+5%</t>
        </r>
      </text>
    </comment>
    <comment ref="F87" authorId="83" shapeId="0" xr:uid="{1E7534D4-D136-4FDA-98AC-CFBE573334F4}">
      <text>
        <t>[Threaded comment]
Your version of Excel allows you to read this threaded comment; however, any edits to it will get removed if the file is opened in a newer version of Excel. Learn more: https://go.microsoft.com/fwlink/?linkid=870924
Comment:
    Church Road Weeds clearance, 09/04/25</t>
      </text>
    </comment>
    <comment ref="J87" authorId="84" shapeId="0" xr:uid="{5D8EB534-DA53-4A6C-AC5D-171ABDEF1CA2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£300 from Bank to Denis for Seats on little Rec on 06/08/25.</t>
      </text>
    </comment>
    <comment ref="K87" authorId="85" shapeId="0" xr:uid="{D07EBC0D-8BEB-4481-A09D-2530DF04D2C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£675.00 consisting of £650 routine work, plus £25.00 ad hoc to replace damaged slab in Big Rec, paid on 03/09/25.</t>
      </text>
    </comment>
    <comment ref="M88" authorId="86" shapeId="0" xr:uid="{2F6ADFB1-3503-46C3-B8C3-183411F5CA1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06/11/25 to Stephen Land for clearing the Cobbled Path.</t>
      </text>
    </comment>
    <comment ref="U89" authorId="0" shapeId="0" xr:uid="{2E368851-9186-4364-BAC2-0AF2EEE994E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J90" authorId="0" shapeId="0" xr:uid="{C0903C8F-2E74-401A-9037-A270CE5F5BF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Seats in Little Rec - Installation</t>
        </r>
      </text>
    </comment>
    <comment ref="G92" authorId="87" shapeId="0" xr:uid="{F76FA19E-9AFD-40B6-8778-443A4104942F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to Parsons for April and May cutting £2,016.44 on 14/05/25.</t>
      </text>
    </comment>
    <comment ref="I92" authorId="88" shapeId="0" xr:uid="{3DF568D1-F576-4F92-8077-3BD63FFCC21F}">
      <text>
        <t>[Threaded comment]
Your version of Excel allows you to read this threaded comment; however, any edits to it will get removed if the file is opened in a newer version of Excel. Learn more: https://go.microsoft.com/fwlink/?linkid=870924
Comment:
    2 Bank Payments for June and July Invoices £1,337.93+£1,196.40 totalling £2543.33, both paid on 09/07/25.</t>
      </text>
    </comment>
    <comment ref="J92" authorId="89" shapeId="0" xr:uid="{48D16155-94A0-47B8-91C6-DB9F6B91E964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Paid £944.81 to Parsons on 06/08/25.</t>
      </text>
    </comment>
    <comment ref="L92" authorId="90" shapeId="0" xr:uid="{027D93CF-97CB-404D-995E-A2BBDE5DC9F2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£1196.40 on 8th October.</t>
      </text>
    </comment>
    <comment ref="M92" authorId="91" shapeId="0" xr:uid="{B7C07B2A-9FD9-4F11-99EF-405146A0018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£944.81 on 25/11/25 to Parsons.</t>
      </text>
    </comment>
    <comment ref="R94" authorId="0" shapeId="0" xr:uid="{F4940757-AD47-4924-B419-1B1F4C585D8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Quote was for £7246, plus VAT.</t>
        </r>
      </text>
    </comment>
    <comment ref="U94" authorId="0" shapeId="0" xr:uid="{704218DB-85F1-4C17-AD4D-5781A74865C5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O95" authorId="92" shapeId="0" xr:uid="{0B25AA02-31CF-49B0-A305-142318660F6E}">
      <text>
        <t>[Threaded comment]
Your version of Excel allows you to read this threaded comment; however, any edits to it will get removed if the file is opened in a newer version of Excel. Learn more: https://go.microsoft.com/fwlink/?linkid=870924
Comment:
    £1562 bank transfer to Church for Grass Cutting on 07/01/26.</t>
      </text>
    </comment>
    <comment ref="U96" authorId="0" shapeId="0" xr:uid="{11111CC1-D8D2-41CA-8D4F-DA09E42DB708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J97" authorId="93" shapeId="0" xr:uid="{2A82585C-CE9F-4743-944B-FDD46FAA28DD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£1,324.80 for safety inspection on 06/08/25.</t>
      </text>
    </comment>
    <comment ref="L98" authorId="0" shapeId="0" xr:uid="{3D0B344A-28C4-4CB3-9807-5D6BD55B6FD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This does attract VAT.</t>
        </r>
      </text>
    </comment>
    <comment ref="U99" authorId="0" shapeId="0" xr:uid="{544F21E7-CB76-4C8D-B772-002DE90039D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G104" authorId="94" shapeId="0" xr:uid="{23115A06-7810-4ADE-9080-919E1D2D205A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£3,250.00 to Silverton Evangelical Church for Youth Worker £3,250.00 on 14/05/25.</t>
      </text>
    </comment>
    <comment ref="P104" authorId="95" shapeId="0" xr:uid="{7623A5AD-450C-43C7-BED1-7E34B3A1C7E4}">
      <text>
        <t>[Threaded comment]
Your version of Excel allows you to read this threaded comment; however, any edits to it will get removed if the file is opened in a newer version of Excel. Learn more: https://go.microsoft.com/fwlink/?linkid=870924
Comment:
    Direct Credit Payment made on 05/02/26.  This was earlier than expected, so is brought forward from 26/27.</t>
      </text>
    </comment>
    <comment ref="U104" authorId="0" shapeId="0" xr:uid="{7143F850-685E-4340-B5FC-38F2F4F72CF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O105" authorId="96" shapeId="0" xr:uid="{621D0CB0-F34D-4C24-A09D-4FA352B03F5D}">
      <text>
        <t>[Threaded comment]
Your version of Excel allows you to read this threaded comment; however, any edits to it will get removed if the file is opened in a newer version of Excel. Learn more: https://go.microsoft.com/fwlink/?linkid=870924
Comment:
    £65.94 bank transfer to refund Simon Hedges for the cost of a St George’s Flag.</t>
      </text>
    </comment>
    <comment ref="U105" authorId="0" shapeId="0" xr:uid="{11855D54-9A1E-45C9-9D4B-6B8DE131E129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Spend
 plus inflation rate in cell W2
</t>
        </r>
      </text>
    </comment>
    <comment ref="B109" authorId="97" shapeId="0" xr:uid="{FC24B23F-53C0-4459-830C-64D0EDA1042B}">
      <text>
        <t>[Threaded comment]
Your version of Excel allows you to read this threaded comment; however, any edits to it will get removed if the file is opened in a newer version of Excel. Learn more: https://go.microsoft.com/fwlink/?linkid=870924
Comment:
    Lime Avenue Regeneration, other Tree Planting  and Maintenance</t>
      </text>
    </comment>
    <comment ref="G109" authorId="98" shapeId="0" xr:uid="{35A7A2EB-84E0-48AF-837B-1DB01B19E048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£924.00 to Hi Line for Berry Tree Risk Assessment (£504.00) and Big Rec Tree Assessment (£420) on 14/05/25.</t>
      </text>
    </comment>
    <comment ref="G110" authorId="99" shapeId="0" xr:uid="{DEE74B11-9694-4A8D-987B-2CBB038DED4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Bank Payment of £924.00 to Hi Line for Berry Tree Risk Assessment (£504.00) and Big Rec Tree Assessment (£420) on 14/05/25.
</t>
      </text>
    </comment>
    <comment ref="Z112" authorId="100" shapeId="0" xr:uid="{8478872D-74A9-4AA8-AA52-14FAA1F1C042}">
      <text>
        <t>[Threaded comment]
Your version of Excel allows you to read this threaded comment; however, any edits to it will get removed if the file is opened in a newer version of Excel. Learn more: https://go.microsoft.com/fwlink/?linkid=870924
Comment:
    Teign Trees.</t>
      </text>
    </comment>
    <comment ref="B117" authorId="101" shapeId="0" xr:uid="{B97C368E-355E-47C9-9DC5-99951F95BA2B}">
      <text>
        <t>[Threaded comment]
Your version of Excel allows you to read this threaded comment; however, any edits to it will get removed if the file is opened in a newer version of Excel. Learn more: https://go.microsoft.com/fwlink/?linkid=870924
Comment:
    Fire Station, Bus Shelters, Gazebo, Tennis Hut, War Memorial, Additional Traffic Signs and Lighting, Flagpole (via RBL), Equipment other than on Big Rec.  To be reviewed in 25/26 - consider splitting into other funds.</t>
      </text>
    </comment>
    <comment ref="G117" authorId="102" shapeId="0" xr:uid="{2C9BE515-744E-4339-810B-542BBF1E4DCE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Payment of £200.00 to Paul Gawen for Bus Shelter roof leak fix on 14/05/25.</t>
      </text>
    </comment>
    <comment ref="Z118" authorId="0" shapeId="0" xr:uid="{8EFE6DC6-B496-48BC-A869-6C6407B5880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Improve Parish Council noticeboard by Little Rec</t>
        </r>
      </text>
    </comment>
    <comment ref="N119" authorId="103" shapeId="0" xr:uid="{94FA033B-4A1B-4D1A-9A36-2C7DEB30185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£78.75 Paid by Bank Transfer on 02/12/25.  VAT not claimable as no reference number on receipt.
</t>
      </text>
    </comment>
    <comment ref="Q119" authorId="104" shapeId="0" xr:uid="{5AC34041-F68B-461D-8B37-F797FA82F76F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Transfer to Denis Marsden on 03/03/26 to pay for installation of pond site bench.</t>
      </text>
    </comment>
    <comment ref="Z119" authorId="0" shapeId="0" xr:uid="{9E5E0B6E-FFB7-488C-AA6B-74CABACB8CAE}">
      <text>
        <r>
          <rPr>
            <sz val="9"/>
            <color indexed="81"/>
            <rFont val="Tahoma"/>
            <family val="2"/>
          </rPr>
          <t xml:space="preserve">Install Bench.  £170.00 quote from Denis.  No VAT applicable.
</t>
        </r>
      </text>
    </comment>
    <comment ref="A120" authorId="0" shapeId="0" xr:uid="{DAD38C43-AE90-4289-A7CD-8BED7B1A7C96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invoice made out to PC, so can't reclaim VAT</t>
        </r>
      </text>
    </comment>
    <comment ref="F120" authorId="0" shapeId="0" xr:uid="{B5392471-4484-4277-965C-471A2AB2FDDE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Bank Account payment of £288 for little rec benches was made in March 2025.  The credit of £300 from the DCC LocalityGrant was also received in March.</t>
        </r>
      </text>
    </comment>
    <comment ref="A121" authorId="0" shapeId="0" xr:uid="{C31F4812-635A-40AC-BDBD-E2C23FB321AF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No invoice made out to PC, so can't reclaim VAT</t>
        </r>
      </text>
    </comment>
    <comment ref="L121" authorId="105" shapeId="0" xr:uid="{00D6BFD8-D3A7-44F0-BAEF-9FE8599444E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Total £922.78 Bank Payment. consisting of Pay £746.40+£26.00 Allowance = £772.40; in same payment was £2.50 for Card, and defibrillator for £119.99.  This totals £894.89, leaving a missing item of £27.89 to be accounted for.
</t>
      </text>
    </comment>
    <comment ref="L126" authorId="0" shapeId="0" xr:uid="{F1F67DE1-7EF6-4BE2-9762-F22FCB76EFEB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Total Refund Payment in October 2025 was £5,166.89.</t>
        </r>
      </text>
    </comment>
    <comment ref="D141" authorId="106" shapeId="0" xr:uid="{6C9B3B24-3C9B-44E8-AF9C-D32E911F8557}">
      <text>
        <t>[Threaded comment]
Your version of Excel allows you to read this threaded comment; however, any edits to it will get removed if the file is opened in a newer version of Excel. Learn more: https://go.microsoft.com/fwlink/?linkid=870924
Comment:
    £5511 resulting from revised Bank Account reconciliation for end March 2025, undertaken at end November 2025.</t>
      </text>
    </comment>
    <comment ref="F145" authorId="107" shapeId="0" xr:uid="{88CAE213-1F97-4881-AE24-FC17FA0BCE3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Payment of Precept on 09/04/25 was £26688.51 - this has the DALC sub pre-subtracted from it	
otherwise the payment would have been 27380.  The difference is 
691.49	
</t>
      </text>
    </comment>
    <comment ref="L145" authorId="108" shapeId="0" xr:uid="{094C89B8-C3FE-4F4B-9EFA-D98069561E9D}">
      <text>
        <t>[Threaded comment]
Your version of Excel allows you to read this threaded comment; however, any edits to it will get removed if the file is opened in a newer version of Excel. Learn more: https://go.microsoft.com/fwlink/?linkid=870924
Comment:
    Received 06/10/25</t>
      </text>
    </comment>
    <comment ref="E146" authorId="109" shapeId="0" xr:uid="{B9DA9FB0-4D6D-4B87-A0F1-409010E3E20E}">
      <text>
        <t>[Threaded comment]
Your version of Excel allows you to read this threaded comment; however, any edits to it will get removed if the file is opened in a newer version of Excel. Learn more: https://go.microsoft.com/fwlink/?linkid=870924
Comment:
    £34627 was the end March balance in the Unity Trust bank.  By this time the Natwest Account had been closed and all money transferred.</t>
      </text>
    </comment>
    <comment ref="N146" authorId="110" shapeId="0" xr:uid="{75C2A2EF-A45E-4351-A6A9-BE413C71D160}">
      <text>
        <t>[Threaded comment]
Your version of Excel allows you to read this threaded comment; however, any edits to it will get removed if the file is opened in a newer version of Excel. Learn more: https://go.microsoft.com/fwlink/?linkid=870924
Comment:
    £38402 from Bank Statement for end December.</t>
      </text>
    </comment>
    <comment ref="E147" authorId="111" shapeId="0" xr:uid="{9369FDCC-A370-42BA-87BB-B20BBFC90110}">
      <text>
        <t>[Threaded comment]
Your version of Excel allows you to read this threaded comment; however, any edits to it will get removed if the file is opened in a newer version of Excel. Learn more: https://go.microsoft.com/fwlink/?linkid=870924
Comment:
    Forecast money available for 2025/26:  £34627 in account from end March, plus net precept payment of £26689 for April, and precept payment of £27380 for October, totalling £88,696.  This is much higher than the originally estimated budget of £83185.</t>
      </text>
    </comment>
    <comment ref="O161" authorId="0" shapeId="0" xr:uid="{B70FFA68-ED0B-494A-84D8-AEB540FC83BC}">
      <text>
        <r>
          <rPr>
            <b/>
            <sz val="9"/>
            <color indexed="81"/>
            <rFont val="Tahoma"/>
            <family val="2"/>
          </rPr>
          <t>Simon Hedges:</t>
        </r>
        <r>
          <rPr>
            <sz val="9"/>
            <color indexed="81"/>
            <rFont val="Tahoma"/>
            <family val="2"/>
          </rPr>
          <t xml:space="preserve">
Confirmed  as £ 54,760 and £68.05 from here https://www.middevon.gov.uk/residents/council-tax/council-tax-bandings-and-how-your-tax-is-spent/charges-for-202526/parish-precepts-202526/</t>
        </r>
      </text>
    </comment>
  </commentList>
</comments>
</file>

<file path=xl/sharedStrings.xml><?xml version="1.0" encoding="utf-8"?>
<sst xmlns="http://schemas.openxmlformats.org/spreadsheetml/2006/main" count="1621" uniqueCount="492">
  <si>
    <t>Clerk's PAYE/NI</t>
  </si>
  <si>
    <t>Clerk's expenses</t>
  </si>
  <si>
    <t>Contractor</t>
  </si>
  <si>
    <t>Contractor - repairs and maintenance</t>
  </si>
  <si>
    <t>Insurance</t>
  </si>
  <si>
    <t>Churchyard grant</t>
  </si>
  <si>
    <t>Training</t>
  </si>
  <si>
    <t>Clock winding</t>
  </si>
  <si>
    <t>Internal Auditor's fee</t>
  </si>
  <si>
    <t>Election contingencies</t>
  </si>
  <si>
    <t>Newsletter contribution</t>
  </si>
  <si>
    <t>MDDC - safety inspection re play equipment</t>
  </si>
  <si>
    <t xml:space="preserve">Thomas Westcott - Accountant's fee </t>
  </si>
  <si>
    <t xml:space="preserve">RBL - Wreath - remembrance day </t>
  </si>
  <si>
    <t>Clerk's salary</t>
  </si>
  <si>
    <t>Christmas tree/celebration</t>
  </si>
  <si>
    <t>Annual Clock Maintenance</t>
  </si>
  <si>
    <t>Replacement defib pads</t>
  </si>
  <si>
    <r>
      <t>Annual subs (</t>
    </r>
    <r>
      <rPr>
        <sz val="10"/>
        <rFont val="Arial"/>
        <family val="2"/>
      </rPr>
      <t>SLCC , LCPS + Info Commissioner )</t>
    </r>
  </si>
  <si>
    <t>email and website</t>
  </si>
  <si>
    <t>Street Market contribution</t>
  </si>
  <si>
    <t>Noticeboard @ Ellerhayes</t>
  </si>
  <si>
    <t>Grass Cutting (Parsons Landscapes)</t>
  </si>
  <si>
    <t>E-on Next - electricity to Air Ambulance site)</t>
  </si>
  <si>
    <t>Big Park Equiptment/Repair Fund</t>
  </si>
  <si>
    <t>.</t>
  </si>
  <si>
    <t>Community Hall Rent</t>
  </si>
  <si>
    <t>Community Fund</t>
  </si>
  <si>
    <t>Tree Maintenance Fund</t>
  </si>
  <si>
    <t>General Reserves Fund</t>
  </si>
  <si>
    <t>Equipment and buildings Fund)</t>
  </si>
  <si>
    <t>Plus:</t>
  </si>
  <si>
    <t>Land Trust Forum</t>
  </si>
  <si>
    <t xml:space="preserve">Neighbourhood Plan /Community </t>
  </si>
  <si>
    <t>Budgeted for</t>
  </si>
  <si>
    <t xml:space="preserve">Actual spend to </t>
  </si>
  <si>
    <t>External Audit fee</t>
  </si>
  <si>
    <t>* see note below</t>
  </si>
  <si>
    <t>* see not below</t>
  </si>
  <si>
    <t>Grant towards Social Worker</t>
  </si>
  <si>
    <t>Payment to Teign Trees re removal of dead tree</t>
  </si>
  <si>
    <t>To Broad Oak Working Group</t>
  </si>
  <si>
    <t>in New Barn Lane</t>
  </si>
  <si>
    <t>Exonia Scaffolding = £450.00</t>
  </si>
  <si>
    <t>F Barclay - digger operator = £400.00</t>
  </si>
  <si>
    <t>Scott Stuthers - saw mill + operator = £2,572.50</t>
  </si>
  <si>
    <t>D Wright - stock sheets = £240.00</t>
  </si>
  <si>
    <t>L Adams - haulage services = £522.50</t>
  </si>
  <si>
    <r>
      <t xml:space="preserve">Total expenditure to date: £4,187,58 </t>
    </r>
    <r>
      <rPr>
        <b/>
        <sz val="11"/>
        <color rgb="FF00B050"/>
        <rFont val="Arial"/>
        <family val="2"/>
      </rPr>
      <t>leaving a balance of £812.42 available</t>
    </r>
  </si>
  <si>
    <t xml:space="preserve">J Squire - stake and base for Queen's Platinum Jub. Tree in </t>
  </si>
  <si>
    <t xml:space="preserve">Recreation Field = </t>
  </si>
  <si>
    <t>NOTE:</t>
  </si>
  <si>
    <t>Items shown with an asterick were included in the Clerk's Expenses</t>
  </si>
  <si>
    <t>(D  Wright - Saw blades = £24,58</t>
  </si>
  <si>
    <t>Grant to Silverton Football Club</t>
  </si>
  <si>
    <t>(Skatepark Annual Insp)</t>
  </si>
  <si>
    <t>Cost of the Ellerhayes Noticeboard was £332.00</t>
  </si>
  <si>
    <t xml:space="preserve">(Information Commissioner annual fee = £40.00 </t>
  </si>
  <si>
    <t>Annual cost of the website Domain Name = £28.78</t>
  </si>
  <si>
    <t>Monthly Microsoft payment = £12.36)</t>
  </si>
  <si>
    <t>Total spend to date;</t>
  </si>
  <si>
    <t>31.12.2024</t>
  </si>
  <si>
    <t>2025/26</t>
  </si>
  <si>
    <t>2024/2025</t>
  </si>
  <si>
    <t>Receipts received during financial year 2-24/2025</t>
  </si>
  <si>
    <t>Precept</t>
  </si>
  <si>
    <t>VAT return</t>
  </si>
  <si>
    <t>SWW - wayleave</t>
  </si>
  <si>
    <t>D Marsden - refund of payment re Harris Fencing</t>
  </si>
  <si>
    <t>Draft Updated Anticipated Expenditure to 30/11/24</t>
  </si>
  <si>
    <t>Bank balance as at 31 December 2024</t>
  </si>
  <si>
    <t>Nat West current account</t>
  </si>
  <si>
    <t>Less o/s cheques:</t>
  </si>
  <si>
    <t>January invoices</t>
  </si>
  <si>
    <t>Chq 002856- RBL - donation re wreath</t>
  </si>
  <si>
    <t>Anticipated expenditure to 31.3.2025</t>
  </si>
  <si>
    <t>Handyman</t>
  </si>
  <si>
    <t>St Mary's Church - contrib to Newsletter</t>
  </si>
  <si>
    <t>St Mary's Church - Churchyard grant</t>
  </si>
  <si>
    <t>Community Hall rent</t>
  </si>
  <si>
    <t>Soc Local Council Clerks annual sub</t>
  </si>
  <si>
    <t>Set up fee to Unity Trust Bank</t>
  </si>
  <si>
    <t>"Pedestrian" signs for Upexe Road</t>
  </si>
  <si>
    <t>Removal of leavings at Pond Site</t>
  </si>
  <si>
    <t>Unknown costs to 31.3.2025</t>
  </si>
  <si>
    <t>Poles for pedestrian signs in Upexe Road</t>
  </si>
  <si>
    <t>Repairs to ggate in Children's Play area</t>
  </si>
  <si>
    <t>Notice for Children's Play Area</t>
  </si>
  <si>
    <t>Poss expenses re Road Warden Scheme</t>
  </si>
  <si>
    <t>Skatepark resurfaconmg</t>
  </si>
  <si>
    <t>Notes</t>
  </si>
  <si>
    <t>CPI Inflation to Dec 24 is 4.1%</t>
  </si>
  <si>
    <t>Items shown with an asterisk were included in the Clerk's Expenses</t>
  </si>
  <si>
    <t>Payment to Teign Trees re removal of dead tree in New Barn Lane</t>
  </si>
  <si>
    <t>2024/25 Budget</t>
  </si>
  <si>
    <t>Spend to End Dec 24</t>
  </si>
  <si>
    <t>2024/25</t>
  </si>
  <si>
    <t>Fcast Jan-Mar 25</t>
  </si>
  <si>
    <t>Proposed Budget</t>
  </si>
  <si>
    <t>Spend</t>
  </si>
  <si>
    <t xml:space="preserve">Budget </t>
  </si>
  <si>
    <t>Unity Trust Bank Setup Fee, and ongoing fees</t>
  </si>
  <si>
    <t>What are the ongoing fees for next year?</t>
  </si>
  <si>
    <t>Have included against "Contractor" in forecast sheet.</t>
  </si>
  <si>
    <t>Where should this go in the Forecast Spend sheet?</t>
  </si>
  <si>
    <t>Plus Print cost of £258, added into Spend Sheet by Simon</t>
  </si>
  <si>
    <t>Monthly Microsoft payment @ £12.36)</t>
  </si>
  <si>
    <t>Funding Required for 2025/26</t>
  </si>
  <si>
    <t>Budget for 2025/26, including reserve funds</t>
  </si>
  <si>
    <t>Forecast Unspent Balance carried forward from 2024/25</t>
  </si>
  <si>
    <t>Outstanding Anticipated Expenditure to end Mar 25</t>
  </si>
  <si>
    <t>Fcast for all 24/25</t>
  </si>
  <si>
    <t>Moved to NP fund from 2025/26</t>
  </si>
  <si>
    <t>Take on more to fund Pond Site and Church Road, plus more leat stuff?</t>
  </si>
  <si>
    <t>Possibly increase the NP Implementation Fund and reduce other funds.</t>
  </si>
  <si>
    <t>24/25</t>
  </si>
  <si>
    <t>Devon Average</t>
  </si>
  <si>
    <t>Silverton</t>
  </si>
  <si>
    <t>That was a 13% increase on the previous year</t>
  </si>
  <si>
    <t>Silverton Total</t>
  </si>
  <si>
    <t>Thorverton</t>
  </si>
  <si>
    <t>Bickleigh</t>
  </si>
  <si>
    <t>Band D</t>
  </si>
  <si>
    <t xml:space="preserve">Bradninch </t>
  </si>
  <si>
    <t xml:space="preserve">Cullompton </t>
  </si>
  <si>
    <t>Tiverton</t>
  </si>
  <si>
    <t>Total</t>
  </si>
  <si>
    <t>Band D Est</t>
  </si>
  <si>
    <t>Band D Other Parishes 24/25</t>
  </si>
  <si>
    <t>Big Rec Equipment/Repair / Improvement Fund</t>
  </si>
  <si>
    <t>Change against Budget</t>
  </si>
  <si>
    <t>Change 24/25 vs 25/26</t>
  </si>
  <si>
    <t>What about Clerk's NI? All paid for current year</t>
  </si>
  <si>
    <t>Handyman - standard maintenance</t>
  </si>
  <si>
    <t>Handyman - ad hoc work</t>
  </si>
  <si>
    <t>Legal advice, Training, etc</t>
  </si>
  <si>
    <t>Devon Association of Local Councils Sub (new for 25/26)</t>
  </si>
  <si>
    <t>Not this year.  £582 for next year.</t>
  </si>
  <si>
    <t>Weed removal in Church Road by Handyman</t>
  </si>
  <si>
    <t>Traffic Issues</t>
  </si>
  <si>
    <t>After DCC contribution</t>
  </si>
  <si>
    <t>Clerk's Employers PAYE/NI</t>
  </si>
  <si>
    <t>Increase Employers' NI estimated at £500 (15%, from a lower threshold of £5,000)</t>
  </si>
  <si>
    <t>Handyman Routine Work</t>
  </si>
  <si>
    <t>Public Liability Insurance for Parish Council</t>
  </si>
  <si>
    <t>2024/25 - no queries raised so lower spend than usual in 24/25.</t>
  </si>
  <si>
    <t>Churchyard grant Grass Cutting</t>
  </si>
  <si>
    <t>In future, pay early in FY.</t>
  </si>
  <si>
    <t>Consider during 24/26</t>
  </si>
  <si>
    <t>Training for Councillors/Clerk (primarily DALC)</t>
  </si>
  <si>
    <t>Clock Annual Maintenance</t>
  </si>
  <si>
    <t>Overestimate for 24/25, but published £1k gross increase for 25/26.  Also budget included NI which is now split out. Assume 5% increase for 2025/26</t>
  </si>
  <si>
    <t>In case of a  contested election</t>
  </si>
  <si>
    <t xml:space="preserve">Parish Council Election contingency </t>
  </si>
  <si>
    <t>Silverleigh Newsletter contribution</t>
  </si>
  <si>
    <t>CLT Forum</t>
  </si>
  <si>
    <t>1 Set of Pads costs £70</t>
  </si>
  <si>
    <t>Email and website (for 2025/26 add in online share storage for Group)</t>
  </si>
  <si>
    <t>Skate Park resurfacing in 2025/26</t>
  </si>
  <si>
    <t>Mid Devon pricing expected to increase above inflation</t>
  </si>
  <si>
    <t>In future, pay earlier in FY.</t>
  </si>
  <si>
    <t>Increase to 2.5 hours per meeting to allow for setup and shutdown for meeting</t>
  </si>
  <si>
    <t>J Squire - stake and base for Queen's Platinum Jub. Tree in Rec field</t>
  </si>
  <si>
    <t>Comments</t>
  </si>
  <si>
    <t xml:space="preserve"> (D  Wright - Saw blades = £24,58</t>
  </si>
  <si>
    <t xml:space="preserve"> Exonia Scaffolding = £450.00</t>
  </si>
  <si>
    <t xml:space="preserve"> F Barclay - digger operator = £400.00</t>
  </si>
  <si>
    <t>Notes for Parish Clerk</t>
  </si>
  <si>
    <t>Receipts received during financial year 2024/2025</t>
  </si>
  <si>
    <t>Precept 2024/25</t>
  </si>
  <si>
    <t>Total Precept</t>
  </si>
  <si>
    <t>Proposed 2025/26 Precept Calculation</t>
  </si>
  <si>
    <t>Change %</t>
  </si>
  <si>
    <t>Precept Changes from 2024/25 to 2025/26</t>
  </si>
  <si>
    <t>F4.  Equipment and Buildings Fund</t>
  </si>
  <si>
    <t>F2. Community Fund</t>
  </si>
  <si>
    <t>F1. Routine Activities Fund</t>
  </si>
  <si>
    <t>Routine Activities Fund Total</t>
  </si>
  <si>
    <t>Spend Included with Clerk's Expenses for 2024/25</t>
  </si>
  <si>
    <t>(for 25/26 these will be recorded against relevant individual budgets)</t>
  </si>
  <si>
    <t>Includes CLT support, Green Group, Legal fees for obtaining land and getting agreements to use, potential future land purchase.</t>
  </si>
  <si>
    <t>Grand Totals for Funds F1-F6</t>
  </si>
  <si>
    <t>Section 1 - Funds</t>
  </si>
  <si>
    <t xml:space="preserve">Section 2 - Precept </t>
  </si>
  <si>
    <t>2024/25 Siliverton Parish Council Budget, Spend and Forecast; Also proposed 2025/26 Budget/Precept</t>
  </si>
  <si>
    <t>One off.  Spend included with Parish Clerk's expenses</t>
  </si>
  <si>
    <t>Remove LCPS for 2025/26, as we have no used it.  Spend in Parish Clerk's expenses</t>
  </si>
  <si>
    <t>Spend includes  email, items but next year will be limited only to the Parish Clerk's genuine expenses</t>
  </si>
  <si>
    <t>Spend included in Parish Clerk's expenses.</t>
  </si>
  <si>
    <t>Details charges to be clarified, as we start using the account.</t>
  </si>
  <si>
    <t>Clerk's Salary payrise backpay for 24/25</t>
  </si>
  <si>
    <t>Does not apply to 25/26</t>
  </si>
  <si>
    <t>Broad Oak Working Group Total</t>
  </si>
  <si>
    <t>F6.  Neighbourhood Plan Implementation Fund (new for 25/26)</t>
  </si>
  <si>
    <t>F3.  Tree Maintenance Fund (incl Lime Avenue Regeneration</t>
  </si>
  <si>
    <t>More Community Activity from 25/26, e.g. Volunteering stall at fair, IT to encourage volunteering, village website, online groups &amp; storage etc.</t>
  </si>
  <si>
    <t>£3250 for Youth Worker in 25/26</t>
  </si>
  <si>
    <t>F5.  General Reserves Fund and Contingency</t>
  </si>
  <si>
    <t>Misc</t>
  </si>
  <si>
    <t>F1.10</t>
  </si>
  <si>
    <t>F1.11</t>
  </si>
  <si>
    <t>F1.13</t>
  </si>
  <si>
    <t>F1.14</t>
  </si>
  <si>
    <t>F1.15</t>
  </si>
  <si>
    <t>F1.16</t>
  </si>
  <si>
    <t>F1.17</t>
  </si>
  <si>
    <t>F1.18</t>
  </si>
  <si>
    <t>F1.19</t>
  </si>
  <si>
    <t>F1.20</t>
  </si>
  <si>
    <t>F1.21</t>
  </si>
  <si>
    <t>F1.22</t>
  </si>
  <si>
    <t>F1.23</t>
  </si>
  <si>
    <t>F1.24</t>
  </si>
  <si>
    <t>F1.26</t>
  </si>
  <si>
    <t>F1.28</t>
  </si>
  <si>
    <t>F1.30</t>
  </si>
  <si>
    <t>F1.32</t>
  </si>
  <si>
    <t>F1.01</t>
  </si>
  <si>
    <t>F1.02</t>
  </si>
  <si>
    <t>F1.03</t>
  </si>
  <si>
    <t>F1.04</t>
  </si>
  <si>
    <t>F1.05</t>
  </si>
  <si>
    <t>F1.06</t>
  </si>
  <si>
    <t>F1.07</t>
  </si>
  <si>
    <t>F1.08</t>
  </si>
  <si>
    <t>F1.09</t>
  </si>
  <si>
    <t>Ref</t>
  </si>
  <si>
    <t>F2.01</t>
  </si>
  <si>
    <t>F2.02</t>
  </si>
  <si>
    <t>F3.01</t>
  </si>
  <si>
    <t>F3.02</t>
  </si>
  <si>
    <t>F3.03</t>
  </si>
  <si>
    <t>F4.01</t>
  </si>
  <si>
    <t>F5.01</t>
  </si>
  <si>
    <t>Budget</t>
  </si>
  <si>
    <t>April</t>
  </si>
  <si>
    <t>May</t>
  </si>
  <si>
    <t>Handyman Monthly Invoice</t>
  </si>
  <si>
    <t>Repairs to Bus Shelter Roof (stop leaking)</t>
  </si>
  <si>
    <t>Printer Ink</t>
  </si>
  <si>
    <t>Berry tree risk assessment</t>
  </si>
  <si>
    <t>Big Rec Risk Assessment</t>
  </si>
  <si>
    <t>Total F1</t>
  </si>
  <si>
    <t>Big Rec Play Area - Repairs by Rhino Play</t>
  </si>
  <si>
    <t>Grand Total</t>
  </si>
  <si>
    <t>UNCLASSIFIED</t>
  </si>
  <si>
    <t>Jun</t>
  </si>
  <si>
    <t>Silverton Room 4U Hire for Broad Oak Working Group</t>
  </si>
  <si>
    <t>Bic Rec Skate Park - White Rose Tarmacadam</t>
  </si>
  <si>
    <t>Internal Auditor's fee - Penny Clapham</t>
  </si>
  <si>
    <t>Aug</t>
  </si>
  <si>
    <t>Jul</t>
  </si>
  <si>
    <t>Sep</t>
  </si>
  <si>
    <t>Oct</t>
  </si>
  <si>
    <t>Nov</t>
  </si>
  <si>
    <t>Dec</t>
  </si>
  <si>
    <t>Jan</t>
  </si>
  <si>
    <t>Feb</t>
  </si>
  <si>
    <t>Mar</t>
  </si>
  <si>
    <t>ICO Direct Debit (Info Commissioner)</t>
  </si>
  <si>
    <t>MDDC Safety Inspection</t>
  </si>
  <si>
    <t>Unspent</t>
  </si>
  <si>
    <t>Add in lease costs for Little Rec (legal fees for 10 year lease).28/09/26.</t>
  </si>
  <si>
    <t>Benches on Little Rec</t>
  </si>
  <si>
    <t>Forecast</t>
  </si>
  <si>
    <t>Big Rec Play Area - ROSPA repairs</t>
  </si>
  <si>
    <t>Clerk's expenses - New Printer</t>
  </si>
  <si>
    <t>3 Feb Mins</t>
  </si>
  <si>
    <t>6 Jan Mins</t>
  </si>
  <si>
    <t>3 Mar Mins</t>
  </si>
  <si>
    <t>Clerk's wages</t>
  </si>
  <si>
    <t>Net Budget</t>
  </si>
  <si>
    <t>Only appear to have estimated for 2 months instead of 3</t>
  </si>
  <si>
    <t>Not allowed for in budget?</t>
  </si>
  <si>
    <t>Underspent</t>
  </si>
  <si>
    <t>Get invoiced earlier for 2025, so avoid the need to forecast.</t>
  </si>
  <si>
    <t>Budget Carried forward into Clock Winding in Annual Maintenance</t>
  </si>
  <si>
    <t>Clerk's expenses - Ink</t>
  </si>
  <si>
    <t>SLCC Annual Subs</t>
  </si>
  <si>
    <t>ICO Annual Subs Direct Debit (Info Commissioner)</t>
  </si>
  <si>
    <t>LCPS Annual Subs</t>
  </si>
  <si>
    <t>Admin</t>
  </si>
  <si>
    <t>Social</t>
  </si>
  <si>
    <t>Admn</t>
  </si>
  <si>
    <t>Recreation</t>
  </si>
  <si>
    <t>C/F Variation</t>
  </si>
  <si>
    <t>Clerk's wages and allowance</t>
  </si>
  <si>
    <t>Website Storage</t>
  </si>
  <si>
    <t>Unity Trust Bank Setup Fee</t>
  </si>
  <si>
    <t>Unity Trust Bank ongoing fees</t>
  </si>
  <si>
    <t>Spend/Forecast 2025/26</t>
  </si>
  <si>
    <t>Clerk's expenses - Phone</t>
  </si>
  <si>
    <t>Clock Annual Maintenance - for 2025-27</t>
  </si>
  <si>
    <t>Spend ASAP</t>
  </si>
  <si>
    <t>Evolution Skate Parks</t>
  </si>
  <si>
    <t>McAfee sub</t>
  </si>
  <si>
    <t>Check Feb Minutes</t>
  </si>
  <si>
    <t>Price Increase</t>
  </si>
  <si>
    <t>Anti-Virus (McAfee)</t>
  </si>
  <si>
    <t>Replacement defib pads (3 sets)</t>
  </si>
  <si>
    <t>Maint</t>
  </si>
  <si>
    <t>Move to non-routine area for 26/27</t>
  </si>
  <si>
    <t>Move similar items elsewhere for 2026/27</t>
  </si>
  <si>
    <t>Moved from Clerk's expenses</t>
  </si>
  <si>
    <t>Budget 2026/27</t>
  </si>
  <si>
    <t>External Audit fee (PKF)</t>
  </si>
  <si>
    <t>Paid in</t>
  </si>
  <si>
    <t>F10 Income</t>
  </si>
  <si>
    <t>F1a. Routine Activities - Admin</t>
  </si>
  <si>
    <t>Total F2</t>
  </si>
  <si>
    <t>Total F3</t>
  </si>
  <si>
    <t>Total F4</t>
  </si>
  <si>
    <t>Total F5</t>
  </si>
  <si>
    <t>Total F6</t>
  </si>
  <si>
    <t>F10 Total</t>
  </si>
  <si>
    <t>Relocated from F1.a Admin where it was in 2025/26</t>
  </si>
  <si>
    <t>Relocate section F1.c</t>
  </si>
  <si>
    <t>VAT Refund</t>
  </si>
  <si>
    <t>Under- spend to C/F</t>
  </si>
  <si>
    <t>Legal Costs (Firehouse, Berry, Little Rec)</t>
  </si>
  <si>
    <t>Precept 2025/26</t>
  </si>
  <si>
    <t>Proposed 2026/27 Precept Calculation</t>
  </si>
  <si>
    <t>Forecast Unspent Balance carried forward from 2025/26</t>
  </si>
  <si>
    <t>F6.  Parish Improvement and Neighbourhood Plan Implementation Fund (new for 25/26), Target £250k</t>
  </si>
  <si>
    <t>Sundries</t>
  </si>
  <si>
    <t>F1a.1 Clerk's salary and Allowance</t>
  </si>
  <si>
    <t>F1a2. Clerk's Employers PAYE/NI</t>
  </si>
  <si>
    <t>F1a3. Clerk's expenses</t>
  </si>
  <si>
    <t>F1a4. Email and website (for 2025/26 add in online share storage for Group)</t>
  </si>
  <si>
    <t>F1a5. Unity Trust Bank Setup Fee, and ongoing fees</t>
  </si>
  <si>
    <r>
      <t>F1a6. Annual subs (</t>
    </r>
    <r>
      <rPr>
        <sz val="10"/>
        <rFont val="Arial"/>
        <family val="2"/>
      </rPr>
      <t>SLCC , LCPS + Info Commissioner )</t>
    </r>
  </si>
  <si>
    <t>F1a7. Training for Councillors/Clerk (primarily DALC)</t>
  </si>
  <si>
    <t>F1a8. Public Liability Insurance for Parish Council</t>
  </si>
  <si>
    <t xml:space="preserve">F1a9. Thomas Westcott - Accountant's fee </t>
  </si>
  <si>
    <t>F1a10. Internal Auditor's fee</t>
  </si>
  <si>
    <t>F1a11. External Audit fee (PKF)</t>
  </si>
  <si>
    <t xml:space="preserve">F1a12. Legal Costs </t>
  </si>
  <si>
    <t>F1a13. Traffic Issues</t>
  </si>
  <si>
    <t xml:space="preserve">F1a14. Parish Council Election contingency </t>
  </si>
  <si>
    <t>F1a15. Big Rec Eqpmnt/Repair / Improvement Fund</t>
  </si>
  <si>
    <t>F1a16.Community Hall Rent</t>
  </si>
  <si>
    <t>F1b Routine Activities - Community Support</t>
  </si>
  <si>
    <t>F1b1. Clock Annual Maintenance</t>
  </si>
  <si>
    <t>F1b2. Clock winding</t>
  </si>
  <si>
    <t xml:space="preserve">F1b3. RBL - Wreath - remembrance day </t>
  </si>
  <si>
    <t>F1b4. Christmas tree/celebration</t>
  </si>
  <si>
    <t>F1b5. Street Market contribution</t>
  </si>
  <si>
    <t>F1b6. Silverleigh Newsletter contribution</t>
  </si>
  <si>
    <t>F1b7. Replacement defib pads</t>
  </si>
  <si>
    <t>F1b8. E-on Next - electricity to Air Ambulance site)</t>
  </si>
  <si>
    <t>Total F1b</t>
  </si>
  <si>
    <t>Inflation Rate:</t>
  </si>
  <si>
    <t>SYFC to refund.</t>
  </si>
  <si>
    <t>F4.  Equipment and Buildings Maintenance Fund</t>
  </si>
  <si>
    <t>F6.1 New Bus Shelter at bottom of Upexe Lane</t>
  </si>
  <si>
    <t>F6.2 Other</t>
  </si>
  <si>
    <t>VAT Refund not accounted for elsewhere</t>
  </si>
  <si>
    <t>Bank Account remaining at 03/09/24 was £14,568</t>
  </si>
  <si>
    <t>Total F1a</t>
  </si>
  <si>
    <t>F1c1. Handyman - standard maintenance</t>
  </si>
  <si>
    <t>F1c5. Churchyard grant Grass Cutting</t>
  </si>
  <si>
    <t>F1c4. Grass Cutting (Parsons Landscapes)</t>
  </si>
  <si>
    <t>F1c2. Handyman - ad hoc work</t>
  </si>
  <si>
    <t>F1c3. Handyman - ad hoc work</t>
  </si>
  <si>
    <t>F1c6. MDDC Safety Inspection</t>
  </si>
  <si>
    <t>F2a. Misc</t>
  </si>
  <si>
    <t>F2b. Grant towards Youth  Worker</t>
  </si>
  <si>
    <t>F3a. Berry tree risk assessment</t>
  </si>
  <si>
    <t>F3b. Big Rec Tree Risk Assessment</t>
  </si>
  <si>
    <t>F3c. Payment to Teign Trees re removal of dead tree in New Barn Lane</t>
  </si>
  <si>
    <t>F3z. VAT Refund</t>
  </si>
  <si>
    <t>VAT</t>
  </si>
  <si>
    <t>F4a. Repairs to Bus Shelter Roof (stop leaking)</t>
  </si>
  <si>
    <t>F4c. Replace Bench on Pond Site</t>
  </si>
  <si>
    <t>F4d. Replace/Add Benches on Little Rec</t>
  </si>
  <si>
    <t>F4e Defibrillator Case at Ellerhayes</t>
  </si>
  <si>
    <t>F10b. DCC Locality Grant for Benches</t>
  </si>
  <si>
    <t>F10a SWEB Wayleave Receipt</t>
  </si>
  <si>
    <t xml:space="preserve">F1c Routine Activities - Maintenance </t>
  </si>
  <si>
    <t>Total F1c</t>
  </si>
  <si>
    <t>Receipt of Precept Payment</t>
  </si>
  <si>
    <t>(unclear if VAT can be reclaimed)</t>
  </si>
  <si>
    <t>F10c. Misc</t>
  </si>
  <si>
    <t>Clerk's expenses - Email</t>
  </si>
  <si>
    <t>Note that the overall budget has gone up by only £286 (from £81,812 to £82,063).  This is because the carry forward this year is less than for last year.</t>
  </si>
  <si>
    <t>Other Ad Hoc Work (e.g. Stephen Land)</t>
  </si>
  <si>
    <t>Big Rec Misc Repairs 2026/7 onward</t>
  </si>
  <si>
    <t>Balance C/F at end Month on Bank Statements</t>
  </si>
  <si>
    <t>In Month Spent from Bank Statements</t>
  </si>
  <si>
    <t>VAT Refund for Pond Site Bench</t>
  </si>
  <si>
    <t>F4b. Silverton Notice Board Refurbishment</t>
  </si>
  <si>
    <t>Clerk's expenses - Paper and Sundries</t>
  </si>
  <si>
    <t>F6.2 Logal Government Reorganisation Prep</t>
  </si>
  <si>
    <t>Payment of Precept on 09/04/25 was £26688.51 - this has the DALC sub pre-subtrract from it</t>
  </si>
  <si>
    <t xml:space="preserve">otherwise the payment would have been 27380.  The difference is </t>
  </si>
  <si>
    <t>Total Forecast Budget</t>
  </si>
  <si>
    <t>External Audit fee (PKF Littlejohn)</t>
  </si>
  <si>
    <t>F1a11. External Audit fee (PKF Littlejohn)</t>
  </si>
  <si>
    <t>MS-Office Licence</t>
  </si>
  <si>
    <t>F2c. Flags</t>
  </si>
  <si>
    <t>A number of minor adjustments made in the light of actual spend, handyman's contract agreement, etc.</t>
  </si>
  <si>
    <t>A reconciliation of the actual bank account levels at the start of the current FY, compared to the estimated carry forward.  This was about $5k higher than forecast.</t>
  </si>
  <si>
    <t>An increase in the LGO estimate from £250 to £500.</t>
  </si>
  <si>
    <t>The result is a forecast precept increase of 13.7% rather than 23.7%</t>
  </si>
  <si>
    <t>Total Budget Change from 25/26 to 26/27:</t>
  </si>
  <si>
    <t>An inflationary increase of 4% would result in a budget of £85k.</t>
  </si>
  <si>
    <t>The extra £5k is largely down to the cost of the bus shelter, increased forecast spend on Big Rec maintenance, legal costs for land registry activity, increase in budget for ad-hoc handyman work</t>
  </si>
  <si>
    <t>Funding Required for 2026/27</t>
  </si>
  <si>
    <t>Precept from Jan Precept Setting Meeting</t>
  </si>
  <si>
    <t>Precept Changes from 2025/26 to 2026/27</t>
  </si>
  <si>
    <t>Avge</t>
  </si>
  <si>
    <t>Interest</t>
  </si>
  <si>
    <t>2.75% Savings Account</t>
  </si>
  <si>
    <t>Current Account</t>
  </si>
  <si>
    <t>Jan 2026:  "RESOLVED a precept of £62,275.00 be requested." (for 2026/27)</t>
  </si>
  <si>
    <t xml:space="preserve">Actual Precept requested for 2026/26 </t>
  </si>
  <si>
    <t>Spring 2026 repairs inc. gate</t>
  </si>
  <si>
    <t>Fence Repairs for Big Rec</t>
  </si>
  <si>
    <t>Netball Sign</t>
  </si>
  <si>
    <t>F3d. Tree Work (Berry and Little Rec)</t>
  </si>
  <si>
    <t>Early.  Remove from next year's budget.</t>
  </si>
  <si>
    <t>Very much higher than expected.</t>
  </si>
  <si>
    <t>Revised Budget</t>
  </si>
  <si>
    <t>Merge F1a.3 and F1a.4 and F1a.5</t>
  </si>
  <si>
    <t>Replacement defib pads (3 sets) &amp; batteries</t>
  </si>
  <si>
    <t>S137 Street Market contribution</t>
  </si>
  <si>
    <t>S137 Silverleigh Newsletter contribution</t>
  </si>
  <si>
    <t>S137 Churchyard grant Grass Cutting</t>
  </si>
  <si>
    <t>F2b.S137  Grant towards Youth  Worker</t>
  </si>
  <si>
    <t>F10b. DCC Locality Grant Received for Benches</t>
  </si>
  <si>
    <t>Society of Local Clerks</t>
  </si>
  <si>
    <t>F10c. Electricity Refund from SYFC</t>
  </si>
  <si>
    <t>Spend Slipped</t>
  </si>
  <si>
    <t>F1a.1 Clerk's salary costs &amp; Office Expenses</t>
  </si>
  <si>
    <t>Office expenses - Email</t>
  </si>
  <si>
    <t>Office expenses - Ink</t>
  </si>
  <si>
    <t>Office expenses - Phone</t>
  </si>
  <si>
    <t>Office expenses Sundries</t>
  </si>
  <si>
    <t>VAT Reclaimed in Year</t>
  </si>
  <si>
    <t>Office expenses - Paper</t>
  </si>
  <si>
    <t>Office potential emails for Councillors</t>
  </si>
  <si>
    <t>Unity Bank Fees</t>
  </si>
  <si>
    <t>X</t>
  </si>
  <si>
    <t>ICO Annual Subs</t>
  </si>
  <si>
    <t>Devon Association of Local Councils Sub</t>
  </si>
  <si>
    <t xml:space="preserve">F1a9. Accountancy and Audit </t>
  </si>
  <si>
    <t>Big Rec Play Area - Repairs for Play Equipment</t>
  </si>
  <si>
    <t>Fence Repair</t>
  </si>
  <si>
    <t>Other</t>
  </si>
  <si>
    <t>Other Room Hire</t>
  </si>
  <si>
    <t>Contribution to Reserves</t>
  </si>
  <si>
    <t>F1c Routine Activities - Maintenance and Inspections</t>
  </si>
  <si>
    <t>F3b. Big Rec Tree Risk Assessment (HiLine)</t>
  </si>
  <si>
    <t>F3a. Berry tree risk assessment (HiLine)</t>
  </si>
  <si>
    <t>F3c. Tree Work (Berry and Little Rec)</t>
  </si>
  <si>
    <t>F3d. Other</t>
  </si>
  <si>
    <t>F4c. Little Rec Planters</t>
  </si>
  <si>
    <t>F4d. Flagpole Repainting</t>
  </si>
  <si>
    <t xml:space="preserve">VAT Refund </t>
  </si>
  <si>
    <t>F10b. Interest in On reserves</t>
  </si>
  <si>
    <t>BALANCE TO FORECAST BUDGET</t>
  </si>
  <si>
    <t>Budget 2027/28</t>
  </si>
  <si>
    <t>Clock Annual Maintenance - for 2026-27</t>
  </si>
  <si>
    <t>Clock Winding Honorarium</t>
  </si>
  <si>
    <t>Forecast Balance (remove after April 26)</t>
  </si>
  <si>
    <t>Unassigned</t>
  </si>
  <si>
    <t>Budget Total Required</t>
  </si>
  <si>
    <t>Opening Bank Statement</t>
  </si>
  <si>
    <t>Shortfall</t>
  </si>
  <si>
    <t>Precept for 25/26</t>
  </si>
  <si>
    <t>Grand Total Expenditure</t>
  </si>
  <si>
    <t>F10d. VAT Balance</t>
  </si>
  <si>
    <t>Corporate Card Fee</t>
  </si>
  <si>
    <t>Clerk's Guide Book</t>
  </si>
  <si>
    <t>Office expenses - Fasthosts Domain Renewal</t>
  </si>
  <si>
    <t>Office expenses - MS-Office Licence</t>
  </si>
  <si>
    <t>Office expenses - Website Storage</t>
  </si>
  <si>
    <t>Office expenses - Anti-Virus (McAfee)</t>
  </si>
  <si>
    <t>F4a. Little Rec OFS Electricity Supply</t>
  </si>
  <si>
    <t>F4a. Little Rec OFS Electricity Supply Refund</t>
  </si>
  <si>
    <t>Over- spend</t>
  </si>
  <si>
    <t>Calculated Balance C/F at end Month on Bank Statements</t>
  </si>
  <si>
    <t>Plan to C/F</t>
  </si>
  <si>
    <t>In Month Spend derived from Bank Statements</t>
  </si>
  <si>
    <t>Actual Precept requested for 2026/27</t>
  </si>
  <si>
    <t>Little Rec Lease Payment to R.E.C.</t>
  </si>
  <si>
    <t>Refund from SYFC</t>
  </si>
  <si>
    <t>Actual C/F at end month on Savings Statement</t>
  </si>
  <si>
    <t>Actual C/F total</t>
  </si>
  <si>
    <t>Office expenses - new website</t>
  </si>
  <si>
    <t>Actual C/F at end month on Current Account Statement</t>
  </si>
  <si>
    <t>Notice to withdraw in 32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</si>
</sst>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dd/mm/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u/>
      <sz val="11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i/>
      <sz val="12"/>
      <color rgb="FFFF0000"/>
      <name val="Arial"/>
      <family val="2"/>
    </font>
    <font>
      <sz val="10"/>
      <color rgb="FFFF0000"/>
      <name val="Arial"/>
      <family val="2"/>
    </font>
    <font>
      <b/>
      <u/>
      <sz val="11"/>
      <name val="Arial"/>
      <family val="2"/>
    </font>
    <font>
      <sz val="11"/>
      <color rgb="FF0070C0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00B050"/>
      <name val="Arial"/>
      <family val="2"/>
    </font>
    <font>
      <u val="double"/>
      <sz val="11"/>
      <color rgb="FF0070C0"/>
      <name val="Arial"/>
      <family val="2"/>
    </font>
    <font>
      <u val="double"/>
      <sz val="12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b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0"/>
      <color rgb="FF001D35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4" fillId="0" borderId="0" applyFont="0" applyFill="0" applyBorder="0" applyAlignment="0" applyProtection="0"/>
  </cellStyleXfs>
  <cellXfs count="409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" fontId="0" fillId="0" borderId="0" xfId="0" applyNumberFormat="1"/>
    <xf numFmtId="0" fontId="15" fillId="0" borderId="0" xfId="0" applyFont="1"/>
    <xf numFmtId="0" fontId="16" fillId="0" borderId="0" xfId="0" applyFont="1"/>
    <xf numFmtId="0" fontId="11" fillId="0" borderId="0" xfId="0" applyFont="1"/>
    <xf numFmtId="8" fontId="0" fillId="0" borderId="0" xfId="0" applyNumberFormat="1"/>
    <xf numFmtId="0" fontId="12" fillId="0" borderId="0" xfId="0" applyFont="1"/>
    <xf numFmtId="0" fontId="6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4" fillId="0" borderId="0" xfId="0" applyNumberFormat="1" applyFont="1"/>
    <xf numFmtId="4" fontId="4" fillId="0" borderId="0" xfId="0" applyNumberFormat="1" applyFont="1"/>
    <xf numFmtId="0" fontId="0" fillId="0" borderId="2" xfId="0" applyBorder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0" fillId="0" borderId="1" xfId="0" applyBorder="1"/>
    <xf numFmtId="0" fontId="27" fillId="0" borderId="0" xfId="0" applyFont="1"/>
    <xf numFmtId="0" fontId="28" fillId="0" borderId="0" xfId="0" applyFont="1"/>
    <xf numFmtId="4" fontId="0" fillId="0" borderId="2" xfId="0" applyNumberFormat="1" applyBorder="1"/>
    <xf numFmtId="4" fontId="6" fillId="0" borderId="0" xfId="0" applyNumberFormat="1" applyFont="1"/>
    <xf numFmtId="0" fontId="3" fillId="0" borderId="0" xfId="1"/>
    <xf numFmtId="0" fontId="29" fillId="0" borderId="0" xfId="1" applyFont="1"/>
    <xf numFmtId="4" fontId="3" fillId="0" borderId="0" xfId="1" applyNumberFormat="1"/>
    <xf numFmtId="0" fontId="3" fillId="0" borderId="1" xfId="1" applyBorder="1"/>
    <xf numFmtId="4" fontId="3" fillId="0" borderId="1" xfId="1" applyNumberFormat="1" applyBorder="1"/>
    <xf numFmtId="0" fontId="30" fillId="0" borderId="0" xfId="1" applyFont="1"/>
    <xf numFmtId="3" fontId="3" fillId="0" borderId="0" xfId="1" applyNumberFormat="1"/>
    <xf numFmtId="3" fontId="31" fillId="0" borderId="0" xfId="1" applyNumberFormat="1" applyFont="1"/>
    <xf numFmtId="4" fontId="31" fillId="0" borderId="0" xfId="1" applyNumberFormat="1" applyFont="1"/>
    <xf numFmtId="4" fontId="29" fillId="0" borderId="0" xfId="1" applyNumberFormat="1" applyFont="1"/>
    <xf numFmtId="0" fontId="3" fillId="2" borderId="0" xfId="1" applyFill="1"/>
    <xf numFmtId="0" fontId="3" fillId="3" borderId="0" xfId="1" applyFill="1"/>
    <xf numFmtId="3" fontId="3" fillId="3" borderId="0" xfId="1" applyNumberFormat="1" applyFill="1"/>
    <xf numFmtId="0" fontId="6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" fontId="6" fillId="0" borderId="0" xfId="0" applyNumberFormat="1" applyFont="1" applyAlignment="1">
      <alignment vertical="top" wrapText="1"/>
    </xf>
    <xf numFmtId="0" fontId="0" fillId="0" borderId="3" xfId="0" applyBorder="1"/>
    <xf numFmtId="0" fontId="2" fillId="0" borderId="0" xfId="1" applyFont="1"/>
    <xf numFmtId="0" fontId="4" fillId="0" borderId="3" xfId="0" applyFont="1" applyBorder="1"/>
    <xf numFmtId="0" fontId="1" fillId="3" borderId="0" xfId="1" applyFont="1" applyFill="1"/>
    <xf numFmtId="0" fontId="1" fillId="0" borderId="0" xfId="1" applyFont="1"/>
    <xf numFmtId="0" fontId="14" fillId="8" borderId="0" xfId="0" applyFont="1" applyFill="1" applyAlignment="1">
      <alignment vertical="top" wrapText="1"/>
    </xf>
    <xf numFmtId="0" fontId="15" fillId="8" borderId="0" xfId="0" applyFont="1" applyFill="1" applyAlignment="1">
      <alignment vertical="top" wrapText="1"/>
    </xf>
    <xf numFmtId="0" fontId="6" fillId="8" borderId="0" xfId="0" applyFont="1" applyFill="1" applyAlignment="1">
      <alignment vertical="top" wrapText="1"/>
    </xf>
    <xf numFmtId="3" fontId="6" fillId="8" borderId="0" xfId="0" applyNumberFormat="1" applyFont="1" applyFill="1" applyAlignment="1">
      <alignment vertical="top" wrapText="1"/>
    </xf>
    <xf numFmtId="0" fontId="0" fillId="8" borderId="0" xfId="0" applyFill="1" applyAlignment="1">
      <alignment vertical="top" wrapText="1"/>
    </xf>
    <xf numFmtId="0" fontId="6" fillId="9" borderId="0" xfId="0" applyFont="1" applyFill="1" applyAlignment="1">
      <alignment vertical="top" wrapText="1"/>
    </xf>
    <xf numFmtId="0" fontId="15" fillId="9" borderId="0" xfId="0" applyFont="1" applyFill="1" applyAlignment="1">
      <alignment vertical="top" wrapText="1"/>
    </xf>
    <xf numFmtId="0" fontId="0" fillId="9" borderId="0" xfId="0" applyFill="1" applyAlignment="1">
      <alignment vertical="top" wrapText="1"/>
    </xf>
    <xf numFmtId="3" fontId="6" fillId="9" borderId="0" xfId="0" applyNumberFormat="1" applyFont="1" applyFill="1" applyAlignment="1">
      <alignment vertical="top" wrapText="1"/>
    </xf>
    <xf numFmtId="0" fontId="36" fillId="9" borderId="0" xfId="0" applyFont="1" applyFill="1" applyAlignment="1">
      <alignment vertical="top" wrapText="1"/>
    </xf>
    <xf numFmtId="0" fontId="10" fillId="10" borderId="6" xfId="0" applyFont="1" applyFill="1" applyBorder="1" applyAlignment="1">
      <alignment horizontal="left" vertical="top" wrapText="1"/>
    </xf>
    <xf numFmtId="8" fontId="0" fillId="10" borderId="1" xfId="0" applyNumberFormat="1" applyFill="1" applyBorder="1" applyAlignment="1">
      <alignment vertical="top"/>
    </xf>
    <xf numFmtId="0" fontId="0" fillId="10" borderId="1" xfId="0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0" fillId="8" borderId="12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7" borderId="5" xfId="0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0" fillId="7" borderId="7" xfId="0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6" fillId="5" borderId="0" xfId="0" applyFont="1" applyFill="1" applyAlignment="1">
      <alignment horizontal="center" vertical="top"/>
    </xf>
    <xf numFmtId="3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0" fillId="8" borderId="0" xfId="0" applyFill="1" applyAlignment="1">
      <alignment vertical="top"/>
    </xf>
    <xf numFmtId="0" fontId="10" fillId="10" borderId="0" xfId="0" applyFont="1" applyFill="1" applyAlignment="1">
      <alignment vertical="top"/>
    </xf>
    <xf numFmtId="0" fontId="0" fillId="10" borderId="0" xfId="0" applyFill="1" applyAlignment="1">
      <alignment vertical="top"/>
    </xf>
    <xf numFmtId="3" fontId="4" fillId="10" borderId="0" xfId="0" applyNumberFormat="1" applyFont="1" applyFill="1" applyAlignment="1">
      <alignment vertical="top"/>
    </xf>
    <xf numFmtId="1" fontId="4" fillId="10" borderId="0" xfId="0" applyNumberFormat="1" applyFont="1" applyFill="1" applyAlignment="1">
      <alignment vertical="top"/>
    </xf>
    <xf numFmtId="0" fontId="4" fillId="10" borderId="0" xfId="0" applyFont="1" applyFill="1" applyAlignment="1">
      <alignment vertical="top"/>
    </xf>
    <xf numFmtId="3" fontId="0" fillId="10" borderId="0" xfId="0" applyNumberFormat="1" applyFill="1" applyAlignment="1">
      <alignment vertical="top"/>
    </xf>
    <xf numFmtId="0" fontId="11" fillId="10" borderId="0" xfId="0" applyFont="1" applyFill="1" applyAlignment="1">
      <alignment vertical="top"/>
    </xf>
    <xf numFmtId="3" fontId="27" fillId="10" borderId="0" xfId="0" applyNumberFormat="1" applyFont="1" applyFill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0" fontId="14" fillId="0" borderId="0" xfId="0" applyFont="1" applyAlignment="1">
      <alignment vertical="top"/>
    </xf>
    <xf numFmtId="3" fontId="6" fillId="0" borderId="10" xfId="0" applyNumberFormat="1" applyFont="1" applyBorder="1" applyAlignment="1">
      <alignment vertical="top"/>
    </xf>
    <xf numFmtId="0" fontId="35" fillId="0" borderId="0" xfId="0" applyFont="1" applyAlignment="1">
      <alignment vertical="top"/>
    </xf>
    <xf numFmtId="4" fontId="6" fillId="0" borderId="2" xfId="0" applyNumberFormat="1" applyFont="1" applyBorder="1" applyAlignment="1">
      <alignment vertical="top"/>
    </xf>
    <xf numFmtId="4" fontId="6" fillId="0" borderId="10" xfId="0" applyNumberFormat="1" applyFont="1" applyBorder="1" applyAlignment="1">
      <alignment vertical="top"/>
    </xf>
    <xf numFmtId="0" fontId="14" fillId="11" borderId="4" xfId="0" applyFont="1" applyFill="1" applyBorder="1" applyAlignment="1">
      <alignment vertical="top"/>
    </xf>
    <xf numFmtId="0" fontId="4" fillId="11" borderId="2" xfId="0" applyFont="1" applyFill="1" applyBorder="1" applyAlignment="1">
      <alignment vertical="top"/>
    </xf>
    <xf numFmtId="0" fontId="0" fillId="11" borderId="2" xfId="0" applyFill="1" applyBorder="1" applyAlignment="1">
      <alignment vertical="top"/>
    </xf>
    <xf numFmtId="0" fontId="6" fillId="11" borderId="2" xfId="0" applyFont="1" applyFill="1" applyBorder="1" applyAlignment="1">
      <alignment vertical="top"/>
    </xf>
    <xf numFmtId="3" fontId="0" fillId="11" borderId="5" xfId="0" applyNumberFormat="1" applyFill="1" applyBorder="1" applyAlignment="1">
      <alignment vertical="top"/>
    </xf>
    <xf numFmtId="0" fontId="10" fillId="11" borderId="8" xfId="0" applyFont="1" applyFill="1" applyBorder="1" applyAlignment="1">
      <alignment vertical="top"/>
    </xf>
    <xf numFmtId="0" fontId="0" fillId="11" borderId="0" xfId="0" applyFill="1" applyAlignment="1">
      <alignment vertical="top"/>
    </xf>
    <xf numFmtId="0" fontId="6" fillId="11" borderId="0" xfId="0" applyFont="1" applyFill="1" applyAlignment="1">
      <alignment vertical="top"/>
    </xf>
    <xf numFmtId="3" fontId="0" fillId="11" borderId="9" xfId="0" applyNumberFormat="1" applyFill="1" applyBorder="1" applyAlignment="1">
      <alignment vertical="top"/>
    </xf>
    <xf numFmtId="6" fontId="0" fillId="11" borderId="0" xfId="0" applyNumberFormat="1" applyFill="1" applyAlignment="1">
      <alignment vertical="top"/>
    </xf>
    <xf numFmtId="0" fontId="10" fillId="11" borderId="6" xfId="0" applyFont="1" applyFill="1" applyBorder="1" applyAlignment="1">
      <alignment vertical="top"/>
    </xf>
    <xf numFmtId="6" fontId="0" fillId="11" borderId="1" xfId="0" applyNumberFormat="1" applyFill="1" applyBorder="1" applyAlignment="1">
      <alignment vertical="top"/>
    </xf>
    <xf numFmtId="0" fontId="0" fillId="11" borderId="1" xfId="0" applyFill="1" applyBorder="1" applyAlignment="1">
      <alignment vertical="top"/>
    </xf>
    <xf numFmtId="3" fontId="0" fillId="11" borderId="7" xfId="0" applyNumberFormat="1" applyFill="1" applyBorder="1" applyAlignment="1">
      <alignment vertical="top"/>
    </xf>
    <xf numFmtId="0" fontId="14" fillId="8" borderId="11" xfId="0" applyFont="1" applyFill="1" applyBorder="1" applyAlignment="1">
      <alignment vertical="top"/>
    </xf>
    <xf numFmtId="0" fontId="0" fillId="8" borderId="10" xfId="0" applyFill="1" applyBorder="1" applyAlignment="1">
      <alignment vertical="top"/>
    </xf>
    <xf numFmtId="3" fontId="0" fillId="8" borderId="10" xfId="0" applyNumberFormat="1" applyFill="1" applyBorder="1" applyAlignment="1">
      <alignment vertical="top"/>
    </xf>
    <xf numFmtId="0" fontId="14" fillId="10" borderId="4" xfId="0" applyFont="1" applyFill="1" applyBorder="1" applyAlignment="1">
      <alignment vertical="top"/>
    </xf>
    <xf numFmtId="0" fontId="4" fillId="10" borderId="2" xfId="0" applyFont="1" applyFill="1" applyBorder="1" applyAlignment="1">
      <alignment vertical="top"/>
    </xf>
    <xf numFmtId="4" fontId="4" fillId="10" borderId="2" xfId="0" applyNumberFormat="1" applyFont="1" applyFill="1" applyBorder="1" applyAlignment="1">
      <alignment vertical="top"/>
    </xf>
    <xf numFmtId="3" fontId="4" fillId="10" borderId="2" xfId="0" applyNumberFormat="1" applyFont="1" applyFill="1" applyBorder="1" applyAlignment="1">
      <alignment vertical="top"/>
    </xf>
    <xf numFmtId="0" fontId="0" fillId="10" borderId="5" xfId="0" applyFill="1" applyBorder="1" applyAlignment="1">
      <alignment vertical="top"/>
    </xf>
    <xf numFmtId="0" fontId="10" fillId="10" borderId="8" xfId="0" applyFont="1" applyFill="1" applyBorder="1" applyAlignment="1">
      <alignment horizontal="left" vertical="top" wrapText="1"/>
    </xf>
    <xf numFmtId="4" fontId="4" fillId="10" borderId="0" xfId="0" applyNumberFormat="1" applyFont="1" applyFill="1" applyAlignment="1">
      <alignment vertical="top"/>
    </xf>
    <xf numFmtId="0" fontId="4" fillId="10" borderId="9" xfId="0" applyFont="1" applyFill="1" applyBorder="1" applyAlignment="1">
      <alignment vertical="top"/>
    </xf>
    <xf numFmtId="0" fontId="10" fillId="10" borderId="6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vertical="top"/>
    </xf>
    <xf numFmtId="3" fontId="4" fillId="10" borderId="1" xfId="0" applyNumberFormat="1" applyFont="1" applyFill="1" applyBorder="1" applyAlignment="1">
      <alignment vertical="top"/>
    </xf>
    <xf numFmtId="4" fontId="4" fillId="10" borderId="1" xfId="0" applyNumberFormat="1" applyFont="1" applyFill="1" applyBorder="1" applyAlignment="1">
      <alignment vertical="top"/>
    </xf>
    <xf numFmtId="3" fontId="0" fillId="10" borderId="1" xfId="0" applyNumberFormat="1" applyFill="1" applyBorder="1" applyAlignment="1">
      <alignment vertical="top"/>
    </xf>
    <xf numFmtId="0" fontId="4" fillId="10" borderId="7" xfId="0" applyFont="1" applyFill="1" applyBorder="1" applyAlignment="1">
      <alignment vertical="top"/>
    </xf>
    <xf numFmtId="4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14" fillId="8" borderId="0" xfId="0" applyFont="1" applyFill="1" applyAlignment="1">
      <alignment vertical="top"/>
    </xf>
    <xf numFmtId="3" fontId="0" fillId="8" borderId="0" xfId="0" applyNumberFormat="1" applyFill="1" applyAlignment="1">
      <alignment vertical="top"/>
    </xf>
    <xf numFmtId="0" fontId="0" fillId="10" borderId="2" xfId="0" applyFill="1" applyBorder="1" applyAlignment="1">
      <alignment vertical="top"/>
    </xf>
    <xf numFmtId="3" fontId="0" fillId="10" borderId="2" xfId="0" applyNumberFormat="1" applyFill="1" applyBorder="1" applyAlignment="1">
      <alignment vertical="top"/>
    </xf>
    <xf numFmtId="0" fontId="0" fillId="10" borderId="7" xfId="0" applyFill="1" applyBorder="1" applyAlignment="1">
      <alignment vertical="top"/>
    </xf>
    <xf numFmtId="0" fontId="25" fillId="10" borderId="6" xfId="0" applyFont="1" applyFill="1" applyBorder="1" applyAlignment="1">
      <alignment vertical="top"/>
    </xf>
    <xf numFmtId="0" fontId="20" fillId="0" borderId="0" xfId="0" applyFont="1" applyAlignment="1">
      <alignment vertical="top"/>
    </xf>
    <xf numFmtId="0" fontId="14" fillId="10" borderId="8" xfId="0" applyFont="1" applyFill="1" applyBorder="1" applyAlignment="1">
      <alignment vertical="top"/>
    </xf>
    <xf numFmtId="4" fontId="0" fillId="10" borderId="0" xfId="0" applyNumberFormat="1" applyFill="1" applyAlignment="1">
      <alignment vertical="top"/>
    </xf>
    <xf numFmtId="0" fontId="0" fillId="10" borderId="9" xfId="0" applyFill="1" applyBorder="1" applyAlignment="1">
      <alignment vertical="top"/>
    </xf>
    <xf numFmtId="0" fontId="10" fillId="10" borderId="8" xfId="0" applyFont="1" applyFill="1" applyBorder="1" applyAlignment="1">
      <alignment horizontal="left" vertical="top"/>
    </xf>
    <xf numFmtId="0" fontId="6" fillId="10" borderId="0" xfId="0" applyFont="1" applyFill="1" applyAlignment="1">
      <alignment vertical="top"/>
    </xf>
    <xf numFmtId="0" fontId="14" fillId="10" borderId="8" xfId="0" applyFont="1" applyFill="1" applyBorder="1" applyAlignment="1">
      <alignment horizontal="left" vertical="top"/>
    </xf>
    <xf numFmtId="0" fontId="18" fillId="10" borderId="0" xfId="0" applyFont="1" applyFill="1" applyAlignment="1">
      <alignment vertical="top"/>
    </xf>
    <xf numFmtId="0" fontId="10" fillId="10" borderId="8" xfId="0" applyFont="1" applyFill="1" applyBorder="1" applyAlignment="1">
      <alignment vertical="top"/>
    </xf>
    <xf numFmtId="8" fontId="0" fillId="10" borderId="0" xfId="0" applyNumberFormat="1" applyFill="1" applyAlignment="1">
      <alignment vertical="top"/>
    </xf>
    <xf numFmtId="0" fontId="10" fillId="10" borderId="6" xfId="0" applyFont="1" applyFill="1" applyBorder="1" applyAlignment="1">
      <alignment vertical="top"/>
    </xf>
    <xf numFmtId="4" fontId="0" fillId="0" borderId="0" xfId="0" applyNumberFormat="1" applyAlignment="1">
      <alignment vertical="top"/>
    </xf>
    <xf numFmtId="8" fontId="0" fillId="0" borderId="0" xfId="0" applyNumberFormat="1" applyAlignment="1">
      <alignment vertical="top"/>
    </xf>
    <xf numFmtId="0" fontId="14" fillId="6" borderId="0" xfId="0" applyFont="1" applyFill="1" applyAlignment="1">
      <alignment vertical="top"/>
    </xf>
    <xf numFmtId="8" fontId="0" fillId="6" borderId="0" xfId="0" applyNumberFormat="1" applyFill="1" applyAlignment="1">
      <alignment vertical="top"/>
    </xf>
    <xf numFmtId="164" fontId="6" fillId="6" borderId="0" xfId="2" applyNumberFormat="1" applyFont="1" applyFill="1" applyAlignment="1">
      <alignment vertical="top"/>
    </xf>
    <xf numFmtId="43" fontId="6" fillId="6" borderId="0" xfId="2" applyFont="1" applyFill="1" applyAlignment="1">
      <alignment vertical="top"/>
    </xf>
    <xf numFmtId="0" fontId="10" fillId="7" borderId="4" xfId="0" applyFont="1" applyFill="1" applyBorder="1" applyAlignment="1">
      <alignment vertical="top"/>
    </xf>
    <xf numFmtId="8" fontId="0" fillId="7" borderId="2" xfId="0" applyNumberFormat="1" applyFill="1" applyBorder="1" applyAlignment="1">
      <alignment vertical="top"/>
    </xf>
    <xf numFmtId="0" fontId="0" fillId="7" borderId="2" xfId="0" applyFill="1" applyBorder="1" applyAlignment="1">
      <alignment vertical="top"/>
    </xf>
    <xf numFmtId="0" fontId="6" fillId="7" borderId="2" xfId="0" applyFont="1" applyFill="1" applyBorder="1" applyAlignment="1">
      <alignment horizontal="right" vertical="top"/>
    </xf>
    <xf numFmtId="3" fontId="0" fillId="7" borderId="2" xfId="0" applyNumberFormat="1" applyFill="1" applyBorder="1" applyAlignment="1">
      <alignment vertical="top"/>
    </xf>
    <xf numFmtId="0" fontId="14" fillId="7" borderId="8" xfId="0" applyFont="1" applyFill="1" applyBorder="1" applyAlignment="1">
      <alignment vertical="top"/>
    </xf>
    <xf numFmtId="8" fontId="0" fillId="7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3" fontId="0" fillId="6" borderId="0" xfId="2" applyNumberFormat="1" applyFont="1" applyFill="1" applyBorder="1" applyAlignment="1">
      <alignment vertical="top"/>
    </xf>
    <xf numFmtId="0" fontId="0" fillId="6" borderId="0" xfId="0" applyFill="1" applyAlignment="1">
      <alignment vertical="top"/>
    </xf>
    <xf numFmtId="3" fontId="4" fillId="7" borderId="0" xfId="0" applyNumberFormat="1" applyFont="1" applyFill="1" applyAlignment="1">
      <alignment vertical="top"/>
    </xf>
    <xf numFmtId="0" fontId="10" fillId="7" borderId="8" xfId="0" applyFont="1" applyFill="1" applyBorder="1" applyAlignment="1">
      <alignment vertical="top"/>
    </xf>
    <xf numFmtId="3" fontId="0" fillId="7" borderId="0" xfId="0" applyNumberFormat="1" applyFill="1" applyAlignment="1">
      <alignment vertical="top"/>
    </xf>
    <xf numFmtId="2" fontId="0" fillId="7" borderId="0" xfId="0" applyNumberFormat="1" applyFill="1" applyAlignment="1">
      <alignment vertical="top"/>
    </xf>
    <xf numFmtId="3" fontId="6" fillId="7" borderId="0" xfId="0" applyNumberFormat="1" applyFont="1" applyFill="1" applyAlignment="1">
      <alignment vertical="top"/>
    </xf>
    <xf numFmtId="0" fontId="6" fillId="7" borderId="0" xfId="0" applyFont="1" applyFill="1" applyAlignment="1">
      <alignment vertical="top"/>
    </xf>
    <xf numFmtId="0" fontId="4" fillId="7" borderId="8" xfId="0" applyFont="1" applyFill="1" applyBorder="1" applyAlignment="1">
      <alignment vertical="top"/>
    </xf>
    <xf numFmtId="3" fontId="0" fillId="7" borderId="0" xfId="2" applyNumberFormat="1" applyFont="1" applyFill="1" applyBorder="1" applyAlignment="1">
      <alignment vertical="top"/>
    </xf>
    <xf numFmtId="2" fontId="0" fillId="6" borderId="0" xfId="0" applyNumberFormat="1" applyFill="1" applyAlignment="1">
      <alignment vertical="top"/>
    </xf>
    <xf numFmtId="165" fontId="0" fillId="6" borderId="0" xfId="0" applyNumberFormat="1" applyFill="1" applyAlignment="1">
      <alignment vertical="top"/>
    </xf>
    <xf numFmtId="0" fontId="4" fillId="0" borderId="8" xfId="0" applyFont="1" applyBorder="1" applyAlignment="1">
      <alignment vertical="top"/>
    </xf>
    <xf numFmtId="0" fontId="19" fillId="0" borderId="8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2" fontId="0" fillId="0" borderId="0" xfId="0" applyNumberFormat="1" applyAlignment="1">
      <alignment vertical="top"/>
    </xf>
    <xf numFmtId="2" fontId="4" fillId="0" borderId="0" xfId="0" applyNumberFormat="1" applyFont="1" applyAlignment="1">
      <alignment vertical="top"/>
    </xf>
    <xf numFmtId="0" fontId="12" fillId="0" borderId="8" xfId="0" applyFont="1" applyBorder="1" applyAlignment="1">
      <alignment vertical="top"/>
    </xf>
    <xf numFmtId="0" fontId="0" fillId="7" borderId="6" xfId="0" applyFill="1" applyBorder="1" applyAlignment="1">
      <alignment vertical="top"/>
    </xf>
    <xf numFmtId="0" fontId="0" fillId="7" borderId="1" xfId="0" applyFill="1" applyBorder="1" applyAlignment="1">
      <alignment vertical="top"/>
    </xf>
    <xf numFmtId="3" fontId="0" fillId="7" borderId="1" xfId="0" applyNumberFormat="1" applyFill="1" applyBorder="1" applyAlignment="1">
      <alignment vertical="top"/>
    </xf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vertical="top"/>
    </xf>
    <xf numFmtId="3" fontId="0" fillId="6" borderId="0" xfId="0" applyNumberFormat="1" applyFill="1" applyAlignment="1">
      <alignment vertical="top"/>
    </xf>
    <xf numFmtId="17" fontId="6" fillId="0" borderId="0" xfId="0" applyNumberFormat="1" applyFont="1" applyAlignment="1">
      <alignment vertical="top"/>
    </xf>
    <xf numFmtId="0" fontId="4" fillId="10" borderId="5" xfId="0" applyFont="1" applyFill="1" applyBorder="1" applyAlignment="1">
      <alignment vertical="top"/>
    </xf>
    <xf numFmtId="0" fontId="4" fillId="8" borderId="1" xfId="0" applyFont="1" applyFill="1" applyBorder="1" applyAlignment="1">
      <alignment vertical="top"/>
    </xf>
    <xf numFmtId="3" fontId="4" fillId="8" borderId="1" xfId="0" applyNumberFormat="1" applyFont="1" applyFill="1" applyBorder="1" applyAlignment="1">
      <alignment vertical="top"/>
    </xf>
    <xf numFmtId="4" fontId="4" fillId="8" borderId="1" xfId="0" applyNumberFormat="1" applyFont="1" applyFill="1" applyBorder="1" applyAlignment="1">
      <alignment vertical="top"/>
    </xf>
    <xf numFmtId="3" fontId="0" fillId="8" borderId="1" xfId="0" applyNumberFormat="1" applyFill="1" applyBorder="1" applyAlignment="1">
      <alignment vertical="top"/>
    </xf>
    <xf numFmtId="0" fontId="4" fillId="8" borderId="10" xfId="0" applyFont="1" applyFill="1" applyBorder="1" applyAlignment="1">
      <alignment vertical="top"/>
    </xf>
    <xf numFmtId="3" fontId="4" fillId="8" borderId="10" xfId="0" applyNumberFormat="1" applyFont="1" applyFill="1" applyBorder="1" applyAlignment="1">
      <alignment vertical="top"/>
    </xf>
    <xf numFmtId="0" fontId="0" fillId="8" borderId="12" xfId="0" applyFill="1" applyBorder="1" applyAlignment="1">
      <alignment vertical="top"/>
    </xf>
    <xf numFmtId="0" fontId="0" fillId="8" borderId="1" xfId="0" applyFill="1" applyBorder="1" applyAlignment="1">
      <alignment vertical="top"/>
    </xf>
    <xf numFmtId="0" fontId="10" fillId="8" borderId="11" xfId="0" applyFont="1" applyFill="1" applyBorder="1" applyAlignment="1">
      <alignment horizontal="left" vertical="top" wrapText="1"/>
    </xf>
    <xf numFmtId="8" fontId="0" fillId="8" borderId="10" xfId="0" applyNumberFormat="1" applyFill="1" applyBorder="1" applyAlignment="1">
      <alignment vertical="top"/>
    </xf>
    <xf numFmtId="0" fontId="6" fillId="8" borderId="10" xfId="0" applyFont="1" applyFill="1" applyBorder="1" applyAlignment="1">
      <alignment vertical="top"/>
    </xf>
    <xf numFmtId="3" fontId="6" fillId="8" borderId="10" xfId="0" applyNumberFormat="1" applyFont="1" applyFill="1" applyBorder="1" applyAlignment="1">
      <alignment vertical="top"/>
    </xf>
    <xf numFmtId="0" fontId="10" fillId="12" borderId="6" xfId="0" applyFont="1" applyFill="1" applyBorder="1" applyAlignment="1">
      <alignment horizontal="left" vertical="top"/>
    </xf>
    <xf numFmtId="0" fontId="10" fillId="10" borderId="0" xfId="0" applyFont="1" applyFill="1" applyAlignment="1">
      <alignment horizontal="left" vertical="top"/>
    </xf>
    <xf numFmtId="0" fontId="0" fillId="8" borderId="2" xfId="0" applyFill="1" applyBorder="1" applyAlignment="1">
      <alignment vertical="top"/>
    </xf>
    <xf numFmtId="0" fontId="10" fillId="10" borderId="4" xfId="0" applyFont="1" applyFill="1" applyBorder="1" applyAlignment="1">
      <alignment vertical="top"/>
    </xf>
    <xf numFmtId="0" fontId="10" fillId="13" borderId="0" xfId="0" applyFont="1" applyFill="1" applyAlignment="1">
      <alignment vertical="top"/>
    </xf>
    <xf numFmtId="0" fontId="14" fillId="8" borderId="4" xfId="0" applyFont="1" applyFill="1" applyBorder="1" applyAlignment="1">
      <alignment vertical="top"/>
    </xf>
    <xf numFmtId="0" fontId="10" fillId="8" borderId="6" xfId="0" applyFont="1" applyFill="1" applyBorder="1" applyAlignment="1">
      <alignment horizontal="left" vertical="top" wrapText="1"/>
    </xf>
    <xf numFmtId="8" fontId="0" fillId="8" borderId="1" xfId="0" applyNumberFormat="1" applyFill="1" applyBorder="1" applyAlignment="1">
      <alignment vertical="top"/>
    </xf>
    <xf numFmtId="0" fontId="10" fillId="10" borderId="0" xfId="0" applyFont="1" applyFill="1" applyAlignment="1">
      <alignment horizontal="left" vertical="top" wrapText="1"/>
    </xf>
    <xf numFmtId="2" fontId="0" fillId="0" borderId="0" xfId="0" applyNumberFormat="1"/>
    <xf numFmtId="2" fontId="0" fillId="12" borderId="0" xfId="0" applyNumberFormat="1" applyFill="1"/>
    <xf numFmtId="2" fontId="0" fillId="8" borderId="10" xfId="0" applyNumberFormat="1" applyFill="1" applyBorder="1" applyAlignment="1">
      <alignment vertical="top"/>
    </xf>
    <xf numFmtId="2" fontId="4" fillId="10" borderId="0" xfId="0" applyNumberFormat="1" applyFont="1" applyFill="1" applyAlignment="1">
      <alignment vertical="top"/>
    </xf>
    <xf numFmtId="2" fontId="4" fillId="10" borderId="1" xfId="0" applyNumberFormat="1" applyFont="1" applyFill="1" applyBorder="1" applyAlignment="1">
      <alignment vertical="top"/>
    </xf>
    <xf numFmtId="2" fontId="4" fillId="8" borderId="1" xfId="0" applyNumberFormat="1" applyFont="1" applyFill="1" applyBorder="1" applyAlignment="1">
      <alignment vertical="top"/>
    </xf>
    <xf numFmtId="2" fontId="0" fillId="10" borderId="0" xfId="0" applyNumberFormat="1" applyFill="1" applyAlignment="1">
      <alignment vertical="top"/>
    </xf>
    <xf numFmtId="2" fontId="0" fillId="10" borderId="1" xfId="0" applyNumberFormat="1" applyFill="1" applyBorder="1" applyAlignment="1">
      <alignment vertical="top"/>
    </xf>
    <xf numFmtId="2" fontId="0" fillId="10" borderId="2" xfId="0" applyNumberFormat="1" applyFill="1" applyBorder="1" applyAlignment="1">
      <alignment vertical="top"/>
    </xf>
    <xf numFmtId="2" fontId="4" fillId="8" borderId="10" xfId="0" applyNumberFormat="1" applyFont="1" applyFill="1" applyBorder="1" applyAlignment="1">
      <alignment vertical="top"/>
    </xf>
    <xf numFmtId="2" fontId="0" fillId="8" borderId="2" xfId="0" applyNumberFormat="1" applyFill="1" applyBorder="1" applyAlignment="1">
      <alignment vertical="top"/>
    </xf>
    <xf numFmtId="2" fontId="0" fillId="8" borderId="1" xfId="0" applyNumberFormat="1" applyFill="1" applyBorder="1" applyAlignment="1">
      <alignment vertical="top"/>
    </xf>
    <xf numFmtId="2" fontId="4" fillId="0" borderId="0" xfId="0" applyNumberFormat="1" applyFont="1" applyAlignment="1">
      <alignment horizontal="right"/>
    </xf>
    <xf numFmtId="4" fontId="4" fillId="8" borderId="10" xfId="0" applyNumberFormat="1" applyFont="1" applyFill="1" applyBorder="1" applyAlignment="1">
      <alignment vertical="top"/>
    </xf>
    <xf numFmtId="3" fontId="0" fillId="12" borderId="0" xfId="0" applyNumberFormat="1" applyFill="1" applyAlignment="1">
      <alignment vertical="top"/>
    </xf>
    <xf numFmtId="0" fontId="11" fillId="12" borderId="0" xfId="0" applyFont="1" applyFill="1" applyAlignment="1">
      <alignment vertical="top"/>
    </xf>
    <xf numFmtId="0" fontId="0" fillId="12" borderId="0" xfId="0" applyFill="1" applyAlignment="1">
      <alignment vertical="top"/>
    </xf>
    <xf numFmtId="0" fontId="4" fillId="12" borderId="0" xfId="0" applyFont="1" applyFill="1" applyAlignment="1">
      <alignment vertical="top"/>
    </xf>
    <xf numFmtId="3" fontId="4" fillId="6" borderId="0" xfId="0" applyNumberFormat="1" applyFont="1" applyFill="1" applyAlignment="1">
      <alignment vertical="top"/>
    </xf>
    <xf numFmtId="1" fontId="4" fillId="6" borderId="0" xfId="0" applyNumberFormat="1" applyFont="1" applyFill="1" applyAlignment="1">
      <alignment vertical="top"/>
    </xf>
    <xf numFmtId="0" fontId="10" fillId="12" borderId="1" xfId="0" applyFont="1" applyFill="1" applyBorder="1" applyAlignment="1">
      <alignment vertical="top"/>
    </xf>
    <xf numFmtId="2" fontId="0" fillId="12" borderId="1" xfId="0" applyNumberFormat="1" applyFill="1" applyBorder="1"/>
    <xf numFmtId="2" fontId="0" fillId="0" borderId="1" xfId="0" applyNumberFormat="1" applyBorder="1"/>
    <xf numFmtId="2" fontId="0" fillId="0" borderId="2" xfId="0" applyNumberFormat="1" applyBorder="1"/>
    <xf numFmtId="0" fontId="0" fillId="0" borderId="5" xfId="0" applyBorder="1"/>
    <xf numFmtId="0" fontId="0" fillId="0" borderId="9" xfId="0" applyBorder="1"/>
    <xf numFmtId="0" fontId="10" fillId="12" borderId="6" xfId="0" applyFont="1" applyFill="1" applyBorder="1" applyAlignment="1">
      <alignment vertical="top"/>
    </xf>
    <xf numFmtId="2" fontId="0" fillId="0" borderId="7" xfId="0" applyNumberFormat="1" applyBorder="1"/>
    <xf numFmtId="0" fontId="10" fillId="12" borderId="8" xfId="0" applyFont="1" applyFill="1" applyBorder="1" applyAlignment="1">
      <alignment vertical="top"/>
    </xf>
    <xf numFmtId="2" fontId="0" fillId="0" borderId="9" xfId="0" applyNumberFormat="1" applyBorder="1"/>
    <xf numFmtId="0" fontId="0" fillId="0" borderId="7" xfId="0" applyBorder="1"/>
    <xf numFmtId="1" fontId="0" fillId="0" borderId="2" xfId="0" applyNumberFormat="1" applyBorder="1"/>
    <xf numFmtId="2" fontId="4" fillId="0" borderId="2" xfId="0" applyNumberFormat="1" applyFont="1" applyBorder="1"/>
    <xf numFmtId="1" fontId="0" fillId="0" borderId="0" xfId="0" applyNumberFormat="1"/>
    <xf numFmtId="0" fontId="6" fillId="8" borderId="6" xfId="0" applyFont="1" applyFill="1" applyBorder="1" applyAlignment="1">
      <alignment vertical="top"/>
    </xf>
    <xf numFmtId="2" fontId="4" fillId="0" borderId="0" xfId="0" applyNumberFormat="1" applyFont="1" applyAlignment="1">
      <alignment horizontal="right" vertical="top" wrapText="1"/>
    </xf>
    <xf numFmtId="0" fontId="4" fillId="0" borderId="1" xfId="0" applyFont="1" applyBorder="1"/>
    <xf numFmtId="2" fontId="0" fillId="7" borderId="1" xfId="0" applyNumberFormat="1" applyFill="1" applyBorder="1"/>
    <xf numFmtId="2" fontId="4" fillId="0" borderId="0" xfId="0" applyNumberFormat="1" applyFont="1"/>
    <xf numFmtId="2" fontId="0" fillId="12" borderId="0" xfId="0" applyNumberFormat="1" applyFill="1" applyAlignment="1">
      <alignment vertical="top"/>
    </xf>
    <xf numFmtId="0" fontId="0" fillId="12" borderId="1" xfId="0" applyFill="1" applyBorder="1" applyAlignment="1">
      <alignment vertical="top"/>
    </xf>
    <xf numFmtId="2" fontId="0" fillId="12" borderId="1" xfId="0" applyNumberFormat="1" applyFill="1" applyBorder="1" applyAlignment="1">
      <alignment vertical="top"/>
    </xf>
    <xf numFmtId="1" fontId="0" fillId="12" borderId="0" xfId="0" applyNumberFormat="1" applyFill="1"/>
    <xf numFmtId="2" fontId="4" fillId="13" borderId="0" xfId="0" applyNumberFormat="1" applyFont="1" applyFill="1" applyAlignment="1">
      <alignment vertical="top"/>
    </xf>
    <xf numFmtId="0" fontId="0" fillId="13" borderId="0" xfId="0" applyFill="1" applyAlignment="1">
      <alignment vertical="top"/>
    </xf>
    <xf numFmtId="2" fontId="0" fillId="13" borderId="0" xfId="0" applyNumberFormat="1" applyFill="1" applyAlignment="1">
      <alignment vertical="top"/>
    </xf>
    <xf numFmtId="2" fontId="0" fillId="13" borderId="1" xfId="0" applyNumberFormat="1" applyFill="1" applyBorder="1" applyAlignment="1">
      <alignment vertical="top"/>
    </xf>
    <xf numFmtId="0" fontId="4" fillId="6" borderId="0" xfId="0" applyFont="1" applyFill="1"/>
    <xf numFmtId="2" fontId="0" fillId="14" borderId="0" xfId="0" applyNumberFormat="1" applyFill="1"/>
    <xf numFmtId="0" fontId="4" fillId="3" borderId="0" xfId="0" applyFont="1" applyFill="1"/>
    <xf numFmtId="0" fontId="4" fillId="2" borderId="0" xfId="0" applyFont="1" applyFill="1"/>
    <xf numFmtId="0" fontId="4" fillId="3" borderId="0" xfId="0" applyFont="1" applyFill="1" applyAlignment="1">
      <alignment vertical="top"/>
    </xf>
    <xf numFmtId="0" fontId="0" fillId="6" borderId="0" xfId="0" applyFill="1"/>
    <xf numFmtId="0" fontId="0" fillId="3" borderId="0" xfId="0" applyFill="1"/>
    <xf numFmtId="0" fontId="0" fillId="2" borderId="0" xfId="0" applyFill="1"/>
    <xf numFmtId="1" fontId="0" fillId="7" borderId="0" xfId="0" applyNumberFormat="1" applyFill="1"/>
    <xf numFmtId="0" fontId="14" fillId="8" borderId="11" xfId="0" applyFont="1" applyFill="1" applyBorder="1" applyAlignment="1">
      <alignment horizontal="left" vertical="top"/>
    </xf>
    <xf numFmtId="2" fontId="6" fillId="0" borderId="0" xfId="0" applyNumberFormat="1" applyFont="1" applyAlignment="1">
      <alignment horizontal="right" vertical="top" wrapText="1"/>
    </xf>
    <xf numFmtId="2" fontId="6" fillId="0" borderId="0" xfId="0" applyNumberFormat="1" applyFont="1"/>
    <xf numFmtId="2" fontId="6" fillId="8" borderId="10" xfId="0" applyNumberFormat="1" applyFont="1" applyFill="1" applyBorder="1" applyAlignment="1">
      <alignment vertical="top"/>
    </xf>
    <xf numFmtId="2" fontId="6" fillId="8" borderId="2" xfId="0" applyNumberFormat="1" applyFont="1" applyFill="1" applyBorder="1" applyAlignment="1">
      <alignment vertical="top"/>
    </xf>
    <xf numFmtId="1" fontId="6" fillId="0" borderId="0" xfId="0" applyNumberFormat="1" applyFont="1"/>
    <xf numFmtId="0" fontId="10" fillId="13" borderId="1" xfId="0" applyFont="1" applyFill="1" applyBorder="1" applyAlignment="1">
      <alignment vertical="top"/>
    </xf>
    <xf numFmtId="0" fontId="6" fillId="0" borderId="1" xfId="0" applyFont="1" applyBorder="1"/>
    <xf numFmtId="2" fontId="6" fillId="0" borderId="1" xfId="0" applyNumberFormat="1" applyFont="1" applyBorder="1"/>
    <xf numFmtId="1" fontId="6" fillId="8" borderId="10" xfId="0" applyNumberFormat="1" applyFont="1" applyFill="1" applyBorder="1" applyAlignment="1">
      <alignment vertical="top"/>
    </xf>
    <xf numFmtId="2" fontId="0" fillId="13" borderId="2" xfId="0" applyNumberFormat="1" applyFill="1" applyBorder="1" applyAlignment="1">
      <alignment vertical="top"/>
    </xf>
    <xf numFmtId="2" fontId="0" fillId="13" borderId="0" xfId="0" applyNumberFormat="1" applyFill="1"/>
    <xf numFmtId="2" fontId="4" fillId="7" borderId="10" xfId="0" applyNumberFormat="1" applyFont="1" applyFill="1" applyBorder="1" applyAlignment="1">
      <alignment vertical="top"/>
    </xf>
    <xf numFmtId="2" fontId="6" fillId="13" borderId="0" xfId="0" applyNumberFormat="1" applyFont="1" applyFill="1"/>
    <xf numFmtId="2" fontId="6" fillId="13" borderId="1" xfId="0" applyNumberFormat="1" applyFont="1" applyFill="1" applyBorder="1"/>
    <xf numFmtId="0" fontId="4" fillId="7" borderId="2" xfId="0" applyFont="1" applyFill="1" applyBorder="1" applyAlignment="1">
      <alignment vertical="top"/>
    </xf>
    <xf numFmtId="0" fontId="36" fillId="9" borderId="0" xfId="0" applyFont="1" applyFill="1" applyAlignment="1">
      <alignment vertical="top"/>
    </xf>
    <xf numFmtId="1" fontId="4" fillId="0" borderId="0" xfId="0" applyNumberFormat="1" applyFont="1"/>
    <xf numFmtId="3" fontId="0" fillId="0" borderId="0" xfId="0" applyNumberFormat="1"/>
    <xf numFmtId="0" fontId="6" fillId="16" borderId="1" xfId="0" applyFont="1" applyFill="1" applyBorder="1"/>
    <xf numFmtId="9" fontId="0" fillId="0" borderId="0" xfId="0" applyNumberFormat="1" applyAlignment="1">
      <alignment vertical="top" wrapText="1"/>
    </xf>
    <xf numFmtId="2" fontId="0" fillId="17" borderId="0" xfId="0" applyNumberFormat="1" applyFill="1"/>
    <xf numFmtId="2" fontId="0" fillId="17" borderId="0" xfId="0" applyNumberFormat="1" applyFill="1" applyAlignment="1">
      <alignment vertical="top"/>
    </xf>
    <xf numFmtId="3" fontId="0" fillId="0" borderId="0" xfId="0" applyNumberFormat="1" applyAlignment="1">
      <alignment vertical="top" wrapText="1"/>
    </xf>
    <xf numFmtId="0" fontId="0" fillId="12" borderId="0" xfId="0" applyFill="1"/>
    <xf numFmtId="2" fontId="4" fillId="12" borderId="0" xfId="0" applyNumberFormat="1" applyFont="1" applyFill="1" applyAlignment="1">
      <alignment vertical="top"/>
    </xf>
    <xf numFmtId="0" fontId="6" fillId="15" borderId="1" xfId="0" applyFont="1" applyFill="1" applyBorder="1"/>
    <xf numFmtId="0" fontId="6" fillId="15" borderId="0" xfId="0" applyFont="1" applyFill="1" applyAlignment="1">
      <alignment vertical="top"/>
    </xf>
    <xf numFmtId="0" fontId="6" fillId="15" borderId="10" xfId="0" applyFont="1" applyFill="1" applyBorder="1" applyAlignment="1">
      <alignment vertical="top"/>
    </xf>
    <xf numFmtId="0" fontId="0" fillId="17" borderId="0" xfId="0" applyFill="1"/>
    <xf numFmtId="0" fontId="4" fillId="17" borderId="0" xfId="0" applyFont="1" applyFill="1"/>
    <xf numFmtId="0" fontId="10" fillId="17" borderId="8" xfId="0" applyFont="1" applyFill="1" applyBorder="1" applyAlignment="1">
      <alignment vertical="top"/>
    </xf>
    <xf numFmtId="0" fontId="10" fillId="6" borderId="0" xfId="0" applyFont="1" applyFill="1" applyAlignment="1">
      <alignment horizontal="left" vertical="top" wrapText="1"/>
    </xf>
    <xf numFmtId="0" fontId="6" fillId="15" borderId="0" xfId="0" applyFont="1" applyFill="1"/>
    <xf numFmtId="0" fontId="0" fillId="12" borderId="2" xfId="0" applyFill="1" applyBorder="1" applyAlignment="1">
      <alignment vertical="top"/>
    </xf>
    <xf numFmtId="2" fontId="0" fillId="12" borderId="2" xfId="0" applyNumberFormat="1" applyFill="1" applyBorder="1" applyAlignment="1">
      <alignment vertical="top"/>
    </xf>
    <xf numFmtId="0" fontId="10" fillId="13" borderId="0" xfId="0" applyFont="1" applyFill="1" applyAlignment="1">
      <alignment horizontal="left" vertical="top" wrapText="1"/>
    </xf>
    <xf numFmtId="2" fontId="0" fillId="13" borderId="1" xfId="0" applyNumberFormat="1" applyFill="1" applyBorder="1"/>
    <xf numFmtId="2" fontId="0" fillId="14" borderId="0" xfId="0" applyNumberFormat="1" applyFill="1" applyAlignment="1">
      <alignment vertical="top"/>
    </xf>
    <xf numFmtId="8" fontId="4" fillId="10" borderId="0" xfId="0" applyNumberFormat="1" applyFont="1" applyFill="1" applyAlignment="1">
      <alignment vertical="top"/>
    </xf>
    <xf numFmtId="2" fontId="4" fillId="12" borderId="0" xfId="0" applyNumberFormat="1" applyFont="1" applyFill="1"/>
    <xf numFmtId="1" fontId="0" fillId="8" borderId="10" xfId="0" applyNumberFormat="1" applyFill="1" applyBorder="1" applyAlignment="1">
      <alignment vertical="top"/>
    </xf>
    <xf numFmtId="1" fontId="0" fillId="0" borderId="1" xfId="0" applyNumberFormat="1" applyBorder="1"/>
    <xf numFmtId="2" fontId="4" fillId="12" borderId="0" xfId="0" applyNumberFormat="1" applyFont="1" applyFill="1" applyAlignment="1">
      <alignment horizontal="right" vertical="top" wrapText="1"/>
    </xf>
    <xf numFmtId="4" fontId="4" fillId="7" borderId="10" xfId="0" applyNumberFormat="1" applyFont="1" applyFill="1" applyBorder="1" applyAlignment="1">
      <alignment vertical="top"/>
    </xf>
    <xf numFmtId="2" fontId="0" fillId="7" borderId="10" xfId="0" applyNumberFormat="1" applyFill="1" applyBorder="1" applyAlignment="1">
      <alignment vertical="top"/>
    </xf>
    <xf numFmtId="4" fontId="0" fillId="12" borderId="1" xfId="0" applyNumberFormat="1" applyFill="1" applyBorder="1"/>
    <xf numFmtId="4" fontId="0" fillId="7" borderId="1" xfId="0" applyNumberFormat="1" applyFill="1" applyBorder="1"/>
    <xf numFmtId="2" fontId="6" fillId="7" borderId="1" xfId="0" applyNumberFormat="1" applyFont="1" applyFill="1" applyBorder="1"/>
    <xf numFmtId="1" fontId="6" fillId="7" borderId="0" xfId="0" applyNumberFormat="1" applyFont="1" applyFill="1"/>
    <xf numFmtId="0" fontId="6" fillId="5" borderId="0" xfId="0" applyFont="1" applyFill="1" applyAlignment="1">
      <alignment vertical="top"/>
    </xf>
    <xf numFmtId="0" fontId="0" fillId="5" borderId="0" xfId="0" applyFill="1" applyAlignment="1">
      <alignment vertical="top" wrapText="1"/>
    </xf>
    <xf numFmtId="3" fontId="0" fillId="5" borderId="1" xfId="0" applyNumberFormat="1" applyFill="1" applyBorder="1"/>
    <xf numFmtId="2" fontId="0" fillId="5" borderId="1" xfId="0" applyNumberFormat="1" applyFill="1" applyBorder="1"/>
    <xf numFmtId="0" fontId="0" fillId="5" borderId="1" xfId="0" applyFill="1" applyBorder="1"/>
    <xf numFmtId="1" fontId="0" fillId="5" borderId="1" xfId="0" applyNumberFormat="1" applyFill="1" applyBorder="1"/>
    <xf numFmtId="0" fontId="0" fillId="5" borderId="10" xfId="0" applyFill="1" applyBorder="1" applyAlignment="1">
      <alignment vertical="top"/>
    </xf>
    <xf numFmtId="3" fontId="4" fillId="5" borderId="10" xfId="0" applyNumberFormat="1" applyFont="1" applyFill="1" applyBorder="1" applyAlignment="1">
      <alignment vertical="top"/>
    </xf>
    <xf numFmtId="2" fontId="0" fillId="5" borderId="10" xfId="0" applyNumberFormat="1" applyFill="1" applyBorder="1" applyAlignment="1">
      <alignment vertical="top"/>
    </xf>
    <xf numFmtId="2" fontId="4" fillId="5" borderId="10" xfId="0" applyNumberFormat="1" applyFont="1" applyFill="1" applyBorder="1" applyAlignment="1">
      <alignment vertical="top"/>
    </xf>
    <xf numFmtId="4" fontId="4" fillId="5" borderId="10" xfId="0" applyNumberFormat="1" applyFont="1" applyFill="1" applyBorder="1" applyAlignment="1">
      <alignment vertical="top"/>
    </xf>
    <xf numFmtId="1" fontId="0" fillId="5" borderId="0" xfId="0" applyNumberFormat="1" applyFill="1"/>
    <xf numFmtId="1" fontId="0" fillId="14" borderId="0" xfId="0" applyNumberFormat="1" applyFill="1"/>
    <xf numFmtId="1" fontId="0" fillId="5" borderId="10" xfId="0" applyNumberFormat="1" applyFill="1" applyBorder="1" applyAlignment="1">
      <alignment vertical="top"/>
    </xf>
    <xf numFmtId="165" fontId="0" fillId="0" borderId="0" xfId="0" applyNumberFormat="1" applyAlignment="1">
      <alignment vertical="top" wrapText="1"/>
    </xf>
    <xf numFmtId="9" fontId="0" fillId="0" borderId="0" xfId="0" applyNumberFormat="1"/>
    <xf numFmtId="2" fontId="0" fillId="18" borderId="0" xfId="0" applyNumberFormat="1" applyFill="1"/>
    <xf numFmtId="2" fontId="4" fillId="18" borderId="0" xfId="0" applyNumberFormat="1" applyFont="1" applyFill="1"/>
    <xf numFmtId="1" fontId="0" fillId="18" borderId="0" xfId="0" applyNumberFormat="1" applyFill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38" fillId="0" borderId="0" xfId="0" applyNumberFormat="1" applyFont="1" applyAlignment="1">
      <alignment horizontal="right" vertical="top" wrapText="1"/>
    </xf>
    <xf numFmtId="10" fontId="4" fillId="0" borderId="0" xfId="0" applyNumberFormat="1" applyFont="1" applyAlignment="1">
      <alignment horizontal="right"/>
    </xf>
    <xf numFmtId="0" fontId="38" fillId="0" borderId="0" xfId="0" applyFont="1" applyAlignment="1">
      <alignment vertical="top" wrapText="1"/>
    </xf>
    <xf numFmtId="0" fontId="39" fillId="0" borderId="0" xfId="0" applyFont="1"/>
    <xf numFmtId="3" fontId="0" fillId="15" borderId="1" xfId="2" applyNumberFormat="1" applyFont="1" applyFill="1" applyBorder="1" applyAlignment="1">
      <alignment vertical="top"/>
    </xf>
    <xf numFmtId="2" fontId="0" fillId="15" borderId="0" xfId="0" applyNumberFormat="1" applyFill="1"/>
    <xf numFmtId="2" fontId="4" fillId="15" borderId="0" xfId="0" applyNumberFormat="1" applyFont="1" applyFill="1" applyAlignment="1">
      <alignment horizontal="right" vertical="top" wrapText="1"/>
    </xf>
    <xf numFmtId="0" fontId="4" fillId="14" borderId="0" xfId="0" applyFont="1" applyFill="1"/>
    <xf numFmtId="0" fontId="6" fillId="16" borderId="0" xfId="0" applyFont="1" applyFill="1"/>
    <xf numFmtId="1" fontId="0" fillId="0" borderId="0" xfId="0" applyNumberFormat="1" applyAlignment="1">
      <alignment vertical="top"/>
    </xf>
    <xf numFmtId="0" fontId="0" fillId="13" borderId="0" xfId="0" applyFill="1"/>
    <xf numFmtId="2" fontId="0" fillId="2" borderId="0" xfId="0" applyNumberFormat="1" applyFill="1"/>
    <xf numFmtId="2" fontId="0" fillId="2" borderId="0" xfId="0" applyNumberForma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2" fontId="0" fillId="2" borderId="0" xfId="0" applyNumberFormat="1" applyFill="1" applyAlignment="1">
      <alignment vertical="top" wrapText="1"/>
    </xf>
    <xf numFmtId="3" fontId="0" fillId="5" borderId="10" xfId="0" applyNumberFormat="1" applyFill="1" applyBorder="1"/>
    <xf numFmtId="2" fontId="4" fillId="11" borderId="0" xfId="0" applyNumberFormat="1" applyFont="1" applyFill="1"/>
    <xf numFmtId="0" fontId="4" fillId="19" borderId="0" xfId="0" applyFont="1" applyFill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4" fillId="5" borderId="0" xfId="0" applyFont="1" applyFill="1"/>
    <xf numFmtId="2" fontId="4" fillId="14" borderId="0" xfId="0" applyNumberFormat="1" applyFont="1" applyFill="1" applyAlignment="1">
      <alignment vertical="top"/>
    </xf>
    <xf numFmtId="2" fontId="0" fillId="17" borderId="1" xfId="0" applyNumberFormat="1" applyFill="1" applyBorder="1"/>
    <xf numFmtId="0" fontId="0" fillId="14" borderId="1" xfId="0" applyFill="1" applyBorder="1" applyAlignment="1">
      <alignment vertical="top"/>
    </xf>
    <xf numFmtId="9" fontId="4" fillId="0" borderId="0" xfId="0" applyNumberFormat="1" applyFont="1" applyAlignment="1">
      <alignment vertical="top" wrapText="1"/>
    </xf>
    <xf numFmtId="1" fontId="0" fillId="15" borderId="0" xfId="0" applyNumberFormat="1" applyFill="1"/>
    <xf numFmtId="3" fontId="0" fillId="16" borderId="0" xfId="0" applyNumberFormat="1" applyFill="1"/>
    <xf numFmtId="0" fontId="6" fillId="15" borderId="10" xfId="0" applyFont="1" applyFill="1" applyBorder="1"/>
    <xf numFmtId="0" fontId="0" fillId="15" borderId="0" xfId="0" applyFill="1"/>
    <xf numFmtId="3" fontId="0" fillId="5" borderId="10" xfId="0" applyNumberFormat="1" applyFill="1" applyBorder="1" applyAlignment="1">
      <alignment vertical="top"/>
    </xf>
    <xf numFmtId="3" fontId="0" fillId="16" borderId="10" xfId="0" applyNumberFormat="1" applyFill="1" applyBorder="1"/>
    <xf numFmtId="3" fontId="0" fillId="15" borderId="0" xfId="0" applyNumberFormat="1" applyFill="1"/>
    <xf numFmtId="3" fontId="6" fillId="16" borderId="10" xfId="0" applyNumberFormat="1" applyFont="1" applyFill="1" applyBorder="1"/>
    <xf numFmtId="3" fontId="6" fillId="15" borderId="0" xfId="0" applyNumberFormat="1" applyFont="1" applyFill="1"/>
    <xf numFmtId="3" fontId="6" fillId="16" borderId="0" xfId="0" applyNumberFormat="1" applyFont="1" applyFill="1"/>
    <xf numFmtId="3" fontId="6" fillId="15" borderId="10" xfId="0" applyNumberFormat="1" applyFont="1" applyFill="1" applyBorder="1"/>
    <xf numFmtId="3" fontId="6" fillId="8" borderId="10" xfId="0" applyNumberFormat="1" applyFont="1" applyFill="1" applyBorder="1"/>
    <xf numFmtId="2" fontId="0" fillId="0" borderId="0" xfId="0" applyNumberFormat="1" applyAlignment="1">
      <alignment horizontal="left" indent="1"/>
    </xf>
    <xf numFmtId="2" fontId="0" fillId="11" borderId="0" xfId="0" applyNumberFormat="1" applyFill="1"/>
    <xf numFmtId="2" fontId="0" fillId="11" borderId="0" xfId="0" applyNumberFormat="1" applyFill="1" applyAlignment="1">
      <alignment vertical="top"/>
    </xf>
    <xf numFmtId="2" fontId="4" fillId="11" borderId="0" xfId="0" applyNumberFormat="1" applyFont="1" applyFill="1" applyAlignment="1">
      <alignment vertical="top"/>
    </xf>
    <xf numFmtId="2" fontId="0" fillId="20" borderId="2" xfId="0" applyNumberFormat="1" applyFill="1" applyBorder="1" applyAlignment="1">
      <alignment vertical="top"/>
    </xf>
    <xf numFmtId="2" fontId="4" fillId="7" borderId="0" xfId="0" applyNumberFormat="1" applyFont="1" applyFill="1" applyAlignment="1">
      <alignment horizontal="right" vertical="top" wrapText="1"/>
    </xf>
    <xf numFmtId="2" fontId="0" fillId="18" borderId="0" xfId="0" applyNumberFormat="1" applyFill="1" applyAlignment="1">
      <alignment vertical="top"/>
    </xf>
    <xf numFmtId="2" fontId="6" fillId="15" borderId="0" xfId="0" applyNumberFormat="1" applyFont="1" applyFill="1"/>
    <xf numFmtId="2" fontId="4" fillId="15" borderId="0" xfId="0" applyNumberFormat="1" applyFont="1" applyFill="1"/>
    <xf numFmtId="2" fontId="0" fillId="20" borderId="0" xfId="0" applyNumberFormat="1" applyFill="1" applyAlignment="1">
      <alignment vertical="top"/>
    </xf>
    <xf numFmtId="2" fontId="0" fillId="15" borderId="0" xfId="0" applyNumberFormat="1" applyFill="1" applyAlignment="1">
      <alignment vertical="top"/>
    </xf>
    <xf numFmtId="2" fontId="18" fillId="21" borderId="0" xfId="0" applyNumberFormat="1" applyFont="1" applyFill="1" applyAlignment="1">
      <alignment horizontal="right" vertical="top" wrapText="1"/>
    </xf>
    <xf numFmtId="1" fontId="0" fillId="8" borderId="10" xfId="0" applyNumberFormat="1" applyFill="1" applyBorder="1"/>
    <xf numFmtId="1" fontId="0" fillId="7" borderId="1" xfId="0" applyNumberFormat="1" applyFill="1" applyBorder="1"/>
    <xf numFmtId="2" fontId="0" fillId="8" borderId="1" xfId="0" applyNumberFormat="1" applyFill="1" applyBorder="1"/>
    <xf numFmtId="2" fontId="0" fillId="11" borderId="1" xfId="0" applyNumberFormat="1" applyFill="1" applyBorder="1" applyAlignment="1">
      <alignment vertical="top"/>
    </xf>
    <xf numFmtId="2" fontId="0" fillId="11" borderId="1" xfId="0" applyNumberFormat="1" applyFill="1" applyBorder="1"/>
    <xf numFmtId="0" fontId="10" fillId="7" borderId="1" xfId="0" applyFont="1" applyFill="1" applyBorder="1" applyAlignment="1">
      <alignment vertical="top"/>
    </xf>
    <xf numFmtId="2" fontId="4" fillId="12" borderId="2" xfId="0" applyNumberFormat="1" applyFont="1" applyFill="1" applyBorder="1" applyAlignment="1">
      <alignment vertical="top"/>
    </xf>
    <xf numFmtId="2" fontId="4" fillId="22" borderId="0" xfId="0" applyNumberFormat="1" applyFont="1" applyFill="1"/>
    <xf numFmtId="2" fontId="0" fillId="22" borderId="0" xfId="0" applyNumberFormat="1" applyFill="1"/>
    <xf numFmtId="2" fontId="0" fillId="22" borderId="1" xfId="0" applyNumberFormat="1" applyFill="1" applyBorder="1"/>
    <xf numFmtId="2" fontId="0" fillId="22" borderId="0" xfId="0" applyNumberFormat="1" applyFill="1" applyAlignment="1">
      <alignment vertical="top"/>
    </xf>
    <xf numFmtId="2" fontId="4" fillId="22" borderId="0" xfId="0" applyNumberFormat="1" applyFont="1" applyFill="1" applyAlignment="1">
      <alignment vertical="top"/>
    </xf>
    <xf numFmtId="1" fontId="0" fillId="10" borderId="0" xfId="0" applyNumberFormat="1" applyFill="1"/>
    <xf numFmtId="1" fontId="0" fillId="21" borderId="0" xfId="0" applyNumberFormat="1" applyFill="1"/>
    <xf numFmtId="14" fontId="0" fillId="0" borderId="0" xfId="0" applyNumberFormat="1"/>
    <xf numFmtId="2" fontId="4" fillId="6" borderId="0" xfId="0" applyNumberFormat="1" applyFont="1" applyFill="1"/>
    <xf numFmtId="2" fontId="4" fillId="2" borderId="0" xfId="0" applyNumberFormat="1" applyFont="1" applyFill="1"/>
    <xf numFmtId="2" fontId="0" fillId="6" borderId="0" xfId="0" applyNumberFormat="1" applyFill="1"/>
    <xf numFmtId="2" fontId="4" fillId="6" borderId="0" xfId="0" applyNumberFormat="1" applyFont="1" applyFill="1" applyAlignment="1">
      <alignment vertical="top"/>
    </xf>
    <xf numFmtId="2" fontId="0" fillId="6" borderId="2" xfId="0" applyNumberFormat="1" applyFill="1" applyBorder="1" applyAlignment="1">
      <alignment vertical="top"/>
    </xf>
    <xf numFmtId="166" fontId="0" fillId="0" borderId="0" xfId="0" applyNumberFormat="1"/>
    <xf numFmtId="0" fontId="14" fillId="8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top"/>
    </xf>
  </cellXfs>
  <cellStyles count="3">
    <cellStyle name="Comma" xfId="2" builtinId="3"/>
    <cellStyle name="Normal" xfId="0" builtinId="0"/>
    <cellStyle name="Normal 2" xfId="1" xr:uid="{C4930F1B-541D-4BC4-8800-99EBEC5C594D}"/>
  </cellStyles>
  <dxfs count="22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  <color rgb="FFFFCCCC"/>
      <color rgb="FFCCFFFF"/>
      <color rgb="FF66FF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121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27C8B1-5C06-4C3C-8024-BE29F35BABCF}"/>
            </a:ext>
          </a:extLst>
        </xdr:cNvPr>
        <xdr:cNvSpPr txBox="1"/>
      </xdr:nvSpPr>
      <xdr:spPr>
        <a:xfrm>
          <a:off x="837565" y="2205228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70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BC404A-57C6-4EAE-A00E-0C54FD89A793}"/>
            </a:ext>
          </a:extLst>
        </xdr:cNvPr>
        <xdr:cNvSpPr txBox="1"/>
      </xdr:nvSpPr>
      <xdr:spPr>
        <a:xfrm>
          <a:off x="3603625" y="1124712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73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14F0E6-457C-4C32-B4D4-7E283B317ACB}"/>
            </a:ext>
          </a:extLst>
        </xdr:cNvPr>
        <xdr:cNvSpPr txBox="1"/>
      </xdr:nvSpPr>
      <xdr:spPr>
        <a:xfrm>
          <a:off x="4876165" y="1312926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128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0065CF-B2C1-427D-A4D0-56651A350D74}"/>
            </a:ext>
          </a:extLst>
        </xdr:cNvPr>
        <xdr:cNvSpPr txBox="1"/>
      </xdr:nvSpPr>
      <xdr:spPr>
        <a:xfrm>
          <a:off x="1142365" y="2256282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116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AC294A-634C-48FE-854F-ACADA17A942F}"/>
            </a:ext>
          </a:extLst>
        </xdr:cNvPr>
        <xdr:cNvSpPr txBox="1"/>
      </xdr:nvSpPr>
      <xdr:spPr>
        <a:xfrm>
          <a:off x="4876165" y="1365504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117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F9FF41-CBB9-4B89-A135-14D34C40098F}"/>
            </a:ext>
          </a:extLst>
        </xdr:cNvPr>
        <xdr:cNvSpPr txBox="1"/>
      </xdr:nvSpPr>
      <xdr:spPr>
        <a:xfrm>
          <a:off x="837565" y="2029968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532765</xdr:colOff>
      <xdr:row>126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A2B605-7E80-416C-8F17-DEB26C1E5223}"/>
            </a:ext>
          </a:extLst>
        </xdr:cNvPr>
        <xdr:cNvSpPr txBox="1"/>
      </xdr:nvSpPr>
      <xdr:spPr>
        <a:xfrm>
          <a:off x="837565" y="20474940"/>
          <a:ext cx="65" cy="185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13</xdr:col>
      <xdr:colOff>342901</xdr:colOff>
      <xdr:row>16</xdr:row>
      <xdr:rowOff>61519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53AEB7-6757-2478-7950-070C4F885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35281"/>
          <a:ext cx="8267700" cy="24084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532765</xdr:colOff>
      <xdr:row>59</xdr:row>
      <xdr:rowOff>0</xdr:rowOff>
    </xdr:from>
    <xdr:ext cx="65" cy="185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214B78-58BF-CBE7-67D1-21519A42AD69}"/>
            </a:ext>
          </a:extLst>
        </xdr:cNvPr>
        <xdr:cNvSpPr txBox="1"/>
      </xdr:nvSpPr>
      <xdr:spPr>
        <a:xfrm>
          <a:off x="5819775" y="85772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imon Hedges" id="{4A2A4441-067B-4294-B1DF-CC355F66F201}" userId="6fbc11b3ca497c32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5-01-09T20:05:04.73" personId="{4A2A4441-067B-4294-B1DF-CC355F66F201}" id="{C2AF521D-2FBB-4372-BAA1-8BBAC584D9BC}">
    <text>SLCC - £120, ICO £40</text>
  </threadedComment>
  <threadedComment ref="B27" dT="2025-01-09T20:05:04.73" personId="{4A2A4441-067B-4294-B1DF-CC355F66F201}" id="{BC55A547-E5BF-499A-A89B-FA3F3B59F21B}">
    <text>SLCC - £120, ICO £40</text>
  </threadedComment>
  <threadedComment ref="Z76" dT="2026-03-06T06:29:52.57" personId="{4A2A4441-067B-4294-B1DF-CC355F66F201}" id="{ADEFE066-2BBA-4D32-A09D-B71E3ADCACCE}">
    <text>Bank Transfer to e-on for Landing Floodlights electric of £23.62 and £17.42, both on 04/03/26.</text>
  </threadedComment>
  <threadedComment ref="B103" dT="2025-01-09T23:49:11.09" personId="{4A2A4441-067B-4294-B1DF-CC355F66F201}" id="{A69F2695-4908-4887-935D-5C1D56D4F91F}">
    <text>Lime Avenue Regeneration, other Tree Planting  and Maintenance</text>
  </threadedComment>
  <threadedComment ref="B112" dT="2025-01-09T16:01:52.52" personId="{4A2A4441-067B-4294-B1DF-CC355F66F201}" id="{001C75D6-A75B-4EF5-96AB-3054332B2C62}">
    <text>Fire Station, Bus Shelters, Gazebo, Tennis Hut, War Memorial, Additional Traffic Signs and Lighting, Flagpole (via RBL), Equipment other than on Big Rec.  To be reviewed in 25/26 - consider splitting into other funds.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8" dT="2025-01-09T14:54:57.40" personId="{4A2A4441-067B-4294-B1DF-CC355F66F201}" id="{D37B52FA-2650-469F-8AA9-A987E70C6F0A}">
    <text>3 month of budget, plus printer cost</text>
  </threadedComment>
  <threadedComment ref="I8" dT="2025-01-09T14:55:27.62" personId="{4A2A4441-067B-4294-B1DF-CC355F66F201}" id="{BF81A05E-03B2-4B36-8FB9-2FB942A1B1B8}">
    <text>Excludes asterisked items which are included elsewhere.  So keep as per 2024/25 budget plus inflation.</text>
  </threadedComment>
  <threadedComment ref="I10" dT="2025-01-09T16:28:12.55" personId="{4A2A4441-067B-4294-B1DF-CC355F66F201}" id="{984ACAD3-42DF-4F56-920A-96EB857517F0}">
    <text>Don’t yet know the specific charges for our account.</text>
  </threadedComment>
  <threadedComment ref="A11" dT="2025-01-09T20:05:04.73" personId="{4A2A4441-067B-4294-B1DF-CC355F66F201}" id="{6C3185FD-C9DD-4753-A646-098EF79482CB}">
    <text>SLCC - £120, ICO £40</text>
  </threadedComment>
  <threadedComment ref="F18" dT="2025-01-09T14:56:53.46" personId="{4A2A4441-067B-4294-B1DF-CC355F66F201}" id="{C736C098-EBC2-4295-86BF-276118B6FA83}">
    <text>3 months at spend rate to end dec + 400 for Church Road Clearance</text>
  </threadedComment>
  <threadedComment ref="A30" dT="2025-01-09T16:20:40.03" personId="{4A2A4441-067B-4294-B1DF-CC355F66F201}" id="{0F1A6C2D-9D5A-4229-8C9A-37736D42E107}">
    <text>This was named CLT Forum.  Is there a reason that this is in this section of the budget, rather than the “Funds” section below?</text>
  </threadedComment>
  <threadedComment ref="I31" dT="2025-01-09T15:32:56.50" personId="{4A2A4441-067B-4294-B1DF-CC355F66F201}" id="{4EC01B61-364A-482A-AEED-D0C0B13BA421}">
    <text>Reduce to £500 as no spend in 2024/25</text>
  </threadedComment>
  <threadedComment ref="F32" dT="2025-01-09T20:43:34.30" personId="{4A2A4441-067B-4294-B1DF-CC355F66F201}" id="{37E6A3A7-CF8A-4876-8B22-22D2C12347E7}">
    <text>Play Area ROSPA Repairs</text>
  </threadedComment>
  <threadedComment ref="A49" dT="2025-01-09T23:50:34.64" personId="{4A2A4441-067B-4294-B1DF-CC355F66F201}" id="{C4C60BF3-F8E2-48BD-80F5-77000CEB5567}">
    <text>Community activities and cohesion, including the growth of social activities in the parish, encouraging volunteering.</text>
  </threadedComment>
  <threadedComment ref="I49" dT="2025-01-09T16:14:56.63" personId="{4A2A4441-067B-4294-B1DF-CC355F66F201}" id="{39C16795-FC6D-4459-AC35-E46A13B51D3A}">
    <text>Increase, as we are spending a good proportion of this budget on the Social worker, and we may need to spend more in 2025/26 to encourage more community activity and volunteering in the parish.</text>
  </threadedComment>
  <threadedComment ref="A54" dT="2025-01-09T23:49:11.09" personId="{4A2A4441-067B-4294-B1DF-CC355F66F201}" id="{B44B69D8-F3FC-4737-9951-A876DAD553C0}">
    <text>Lime Avenue Regeneration, other Tree Planting  and Maintenance</text>
  </threadedComment>
  <threadedComment ref="A58" dT="2025-01-09T16:01:52.52" personId="{4A2A4441-067B-4294-B1DF-CC355F66F201}" id="{2276A2DE-477A-4774-AAD8-F9D4927FE931}">
    <text>Fire Station, Bus Shelters, Gazebo, Tennis Hut, War Memorial, Additional Traffic Signs and Lighting, Flagpole (via RBL), Equipment other than on Big Rec.  To be reviewed in 25/26 - consider splitting into other funds.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8" dT="2025-01-09T14:54:57.40" personId="{4A2A4441-067B-4294-B1DF-CC355F66F201}" id="{92DEC327-DF72-4D4C-AE05-CC3C43042532}">
    <text>3 month of budget, plus printer cost</text>
  </threadedComment>
  <threadedComment ref="I8" dT="2025-01-09T14:55:27.62" personId="{4A2A4441-067B-4294-B1DF-CC355F66F201}" id="{74CB683E-5ECF-4D9E-BFD5-11C86CF227AF}">
    <text>Excludes asterisked items which are included elsewhere.  So keep as per 2024/25 budget plus inflation.</text>
  </threadedComment>
  <threadedComment ref="I10" dT="2025-01-09T16:28:12.55" personId="{4A2A4441-067B-4294-B1DF-CC355F66F201}" id="{43110B68-781D-449E-B0B0-E2A3456FBFA1}">
    <text>Don’t yet know the specific charges for our account.</text>
  </threadedComment>
  <threadedComment ref="A11" dT="2025-01-09T20:05:04.73" personId="{4A2A4441-067B-4294-B1DF-CC355F66F201}" id="{A8617DB8-080F-478E-A5C0-8F40C6F6B03F}">
    <text>SLCC - £120, ICO £40</text>
  </threadedComment>
  <threadedComment ref="F18" dT="2025-01-09T14:56:53.46" personId="{4A2A4441-067B-4294-B1DF-CC355F66F201}" id="{E3FE0CEB-4CF4-4BFD-84B3-5DAA6877C0C3}">
    <text>3 months at spend rate to end dec + 400 for Church Road Clearance</text>
  </threadedComment>
  <threadedComment ref="A30" dT="2025-01-09T16:20:40.03" personId="{4A2A4441-067B-4294-B1DF-CC355F66F201}" id="{C4245366-BE61-4955-BC19-B218DC7B6B52}">
    <text>This was named CLT Forum.  Is there a reason that this is in this section of the budget, rather than the “Funds” section below?</text>
  </threadedComment>
  <threadedComment ref="I31" dT="2025-01-09T15:32:56.50" personId="{4A2A4441-067B-4294-B1DF-CC355F66F201}" id="{3BB01ADA-679E-4A90-95CD-2A5479C8F53C}">
    <text>Reduce to £500 as no spend in 2024/25</text>
  </threadedComment>
  <threadedComment ref="F32" dT="2025-01-09T20:43:34.30" personId="{4A2A4441-067B-4294-B1DF-CC355F66F201}" id="{C1FC2C34-F74F-45EB-8473-91FD6804ECB0}">
    <text>Play Area ROSPA Repairs</text>
  </threadedComment>
  <threadedComment ref="A50" dT="2025-01-09T23:50:34.64" personId="{4A2A4441-067B-4294-B1DF-CC355F66F201}" id="{B35B9CA0-1B41-45E1-8322-BCF58FF1C9CD}">
    <text>Community activities and cohesion, including the growth of social activities in the parish, encouraging volunteering.</text>
  </threadedComment>
  <threadedComment ref="I53" dT="2025-01-09T16:14:56.63" personId="{4A2A4441-067B-4294-B1DF-CC355F66F201}" id="{1782196A-0054-4DAC-A16B-0445999F52D2}">
    <text>Increase, as we are spending a good proportion of this budget on the Social worker, and we may need to spend more in 2025/26 to encourage more community activity and volunteering in the parish.</text>
  </threadedComment>
  <threadedComment ref="A56" dT="2025-01-09T23:49:11.09" personId="{4A2A4441-067B-4294-B1DF-CC355F66F201}" id="{C3C882F3-E49F-47D9-B589-A42F05B1EEBE}">
    <text>Lime Avenue Regeneration, other Tree Planting  and Maintenance</text>
  </threadedComment>
  <threadedComment ref="A61" dT="2025-01-09T16:01:52.52" personId="{4A2A4441-067B-4294-B1DF-CC355F66F201}" id="{F1558F6A-FB06-417C-99DE-1B7D19782191}">
    <text>Fire Station, Bus Shelters, Gazebo, Tennis Hut, War Memorial, Additional Traffic Signs and Lighting, Flagpole (via RBL), Equipment other than on Big Rec.  To be reviewed in 25/26 - consider splitting into other funds.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4" dT="2025-01-09T20:05:04.73" personId="{4A2A4441-067B-4294-B1DF-CC355F66F201}" id="{58E18842-D4C9-4737-A408-934B83BD907B}">
    <text>SLCC - £120, ICO £40</text>
  </threadedComment>
  <threadedComment ref="B25" dT="2025-01-09T20:05:04.73" personId="{4A2A4441-067B-4294-B1DF-CC355F66F201}" id="{071FF7D2-8ECC-49E8-B17F-B97903C2E76D}">
    <text>SLCC - £120, ICO £40</text>
  </threadedComment>
  <threadedComment ref="B26" dT="2025-01-09T20:05:04.73" personId="{4A2A4441-067B-4294-B1DF-CC355F66F201}" id="{6AC7D582-86C1-43CA-B12B-E75A0990E9E5}">
    <text>SLCC - £120, ICO £40</text>
  </threadedComment>
  <threadedComment ref="B81" dT="2025-01-09T16:20:40.03" personId="{4A2A4441-067B-4294-B1DF-CC355F66F201}" id="{8B61BE6A-8C1E-47DD-96F5-A0F0F815C2CD}">
    <text>This was named CLT Forum.  Is there a reason that this is in this section of the budget, rather than the “Funds” section below?</text>
  </threadedComment>
  <threadedComment ref="B82" dT="2025-01-09T16:20:40.03" personId="{4A2A4441-067B-4294-B1DF-CC355F66F201}" id="{764D4041-8ED4-45AD-AFF6-62CBBF237150}">
    <text>This was named CLT Forum.  Is there a reason that this is in this section of the budget, rather than the “Funds” section below?</text>
  </threadedComment>
  <threadedComment ref="B83" dT="2025-01-09T16:20:40.03" personId="{4A2A4441-067B-4294-B1DF-CC355F66F201}" id="{394EDB9B-0230-497E-98DA-DD334B3325CB}">
    <text>This was named CLT Forum.  Is there a reason that this is in this section of the budget, rather than the “Funds” section below?</text>
  </threadedComment>
  <threadedComment ref="B114" dT="2025-01-09T23:49:11.09" personId="{4A2A4441-067B-4294-B1DF-CC355F66F201}" id="{19E3CA50-DE93-4812-8674-42BD66C3F13E}">
    <text>Lime Avenue Regeneration, other Tree Planting  and Maintenance</text>
  </threadedComment>
  <threadedComment ref="B120" dT="2025-01-09T16:01:52.52" personId="{4A2A4441-067B-4294-B1DF-CC355F66F201}" id="{AFB1067B-985B-44EF-92B4-E6FA97DDFE35}">
    <text>Fire Station, Bus Shelters, Gazebo, Tennis Hut, War Memorial, Additional Traffic Signs and Lighting, Flagpole (via RBL), Equipment other than on Big Rec.  To be reviewed in 25/26 - consider splitting into other funds.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4" dT="2025-11-23T16:35:10.58" personId="{4A2A4441-067B-4294-B1DF-CC355F66F201}" id="{98383598-7B9D-49E7-9168-A45AA40BACB3}">
    <text xml:space="preserve">Figure taken from April Minutes.  Need to Cross check with April Statement (on old Bank Account).
</text>
  </threadedComment>
  <threadedComment ref="G4" dT="2025-11-23T16:23:58.06" personId="{4A2A4441-067B-4294-B1DF-CC355F66F201}" id="{C726BA2B-CBA3-4AC7-BBA2-7AFFABB89769}">
    <text>Clerk Wages £732.88 paid on 14/05/25.</text>
  </threadedComment>
  <threadedComment ref="H4" dT="2025-11-23T16:08:52.98" personId="{4A2A4441-067B-4294-B1DF-CC355F66F201}" id="{952DC61D-19A3-4D5F-8E71-B21AC52A4FB1}">
    <text>Bank Payment of Clerk’s wages of £708.16 paid on 04/06/25.</text>
  </threadedComment>
  <threadedComment ref="I4" dT="2025-11-23T15:55:59.45" personId="{4A2A4441-067B-4294-B1DF-CC355F66F201}" id="{BA40BEFC-3DEE-4520-9F3D-A2A626B28800}">
    <text>Payment by bank of £789.68 comprising £753.12 Pay, and mail (May £12.36, June £12.10, July, £12.10) £36.56.  This is the point at which we switch from paying in arrears to paying in advance.</text>
  </threadedComment>
  <threadedComment ref="J4" dT="2025-11-23T15:05:48.94" personId="{4A2A4441-067B-4294-B1DF-CC355F66F201}" id="{56CC8D4E-AE60-4B53-9B41-96987B166A65}">
    <text>Bank Paid £814.07 in total for Clerk’s wages (£803.08), Sim Card £0.99, Top Up £10.00).</text>
  </threadedComment>
  <threadedComment ref="K4" dT="2025-11-23T11:44:50.63" personId="{4A2A4441-067B-4294-B1DF-CC355F66F201}" id="{2A30FFE0-79B9-4230-99B8-C55CAA761DDC}">
    <text xml:space="preserve">Bank Payment of £877.59, consisting of £839.48 for salary and backpay, plus £26.00 for allowances (totalling £865.48), and £12.10 for email. </text>
  </threadedComment>
  <threadedComment ref="L4" dT="2025-11-23T10:50:57.52" personId="{4A2A4441-067B-4294-B1DF-CC355F66F201}" id="{83108D9E-0ED8-43FD-BBB1-69327CB6F98B}">
    <text>Total £922.78 Bank Payment. consisting of Pay £746.40+£26.00 Allowance = £772.40; in same payment was £2.50 for Card, and defibrillator for £119.99.  This totals £894.89, leaving a missing item of £27.89 to be accounted for.</text>
  </threadedComment>
  <threadedComment ref="M4" dT="2025-11-23T10:30:44.98" personId="{4A2A4441-067B-4294-B1DF-CC355F66F201}" id="{561A3241-86BC-4780-B665-F2EF0585F49A}">
    <text>Bank Payment 06/11/25, £784.5, consisting of £772.40 for Salary and Allowances and £12.10 for Clerk's email.</text>
  </threadedComment>
  <threadedComment ref="F6" dT="2025-11-23T16:34:37.30" personId="{4A2A4441-067B-4294-B1DF-CC355F66F201}" id="{92DE2F4F-FF31-4F37-AF3C-2232622999B3}">
    <text>Figure taken from April Minutes.  Need to Cross check with April Statement (on old Bank Account).</text>
  </threadedComment>
  <threadedComment ref="I6" dT="2025-11-23T15:45:57.13" personId="{4A2A4441-067B-4294-B1DF-CC355F66F201}" id="{0C14AFB9-3F0D-47D2-A6B9-8416105F4AB7}">
    <text>Bank Payment £744.73 for Employer’s PAYE NI on 09/07/25.</text>
  </threadedComment>
  <threadedComment ref="L6" dT="2025-11-23T16:53:44.54" personId="{4A2A4441-067B-4294-B1DF-CC355F66F201}" id="{CCA16A6D-F957-41B2-BF15-612CF20E8B03}">
    <text>Bank Payment to HMRC for Employers NI for Clerk for 3 months, paid on 08/10/25.</text>
  </threadedComment>
  <threadedComment ref="G8" dT="2025-11-23T14:57:33.25" personId="{4A2A4441-067B-4294-B1DF-CC355F66F201}" id="{A3DAE065-3787-44CC-BC81-D55543A33360}">
    <text>Paid from Bank £95.59 for printer cartridges to Simon Hedges who bought them for Sheila.  No VAT Claimable. Paid on 15/05/25.</text>
  </threadedComment>
  <threadedComment ref="J8" dT="2025-11-23T14:57:33.25" personId="{4A2A4441-067B-4294-B1DF-CC355F66F201}" id="{9E8A3F93-1E73-48F4-AAE2-75B0EBA366A6}">
    <text>Paid from Bank £95.59 for printer cartridges to Simon Hedges who bought them for Sheila.  No VAT Claimable. Paid on 06/08/25.</text>
  </threadedComment>
  <threadedComment ref="J9" dT="2025-11-23T15:06:00.97" personId="{4A2A4441-067B-4294-B1DF-CC355F66F201}" id="{A8A81233-81FD-4821-9C19-ECF007265E34}">
    <text>Bank Paid £814.07 in total for Clerk’s wages (£803.08), Sim Card £0.99, Top Up £10.00).</text>
  </threadedComment>
  <threadedComment ref="I10" dT="2025-11-23T15:55:53.21" personId="{4A2A4441-067B-4294-B1DF-CC355F66F201}" id="{2A8C268C-ED9F-43A7-B08A-61644ED25602}">
    <text>Payment by bank of £789.68 comprising £753.12 Pay, and mail (May £12.36, June £12.10, July, £12.10) £36.56.  This is the point at which we switch from paying in arrears to paying in advance.</text>
  </threadedComment>
  <threadedComment ref="K10" dT="2025-11-23T11:45:00.07" personId="{4A2A4441-067B-4294-B1DF-CC355F66F201}" id="{58967E0B-0743-417F-B509-967FA4E9B6C7}">
    <text xml:space="preserve">Bank Payment of £877.59, consisting of £839.48 for salary and backpay, plus £26.00 for allowances (totalling £865.48), and £12.10 for email. </text>
  </threadedComment>
  <threadedComment ref="M10" dT="2025-11-23T10:31:04.16" personId="{4A2A4441-067B-4294-B1DF-CC355F66F201}" id="{1E97EE8A-F873-43D3-831E-CC64959F97FB}">
    <text>Bank Payment 06/11/25, £784.5, consisting of £772.40 for Salary and Allowances and £12.10 for Clerk's email.</text>
  </threadedComment>
  <threadedComment ref="G17" dT="2025-11-23T16:11:27.37" personId="{4A2A4441-067B-4294-B1DF-CC355F66F201}" id="{6B6D9848-3F28-4DBD-9D4A-98E7719710BC}">
    <text>Direct Debit to Unity Trust Bank for £6.00 fees on 31/05/25.</text>
  </threadedComment>
  <threadedComment ref="H17" dT="2025-11-23T16:11:27.37" personId="{4A2A4441-067B-4294-B1DF-CC355F66F201}" id="{FEE4E79B-8093-455D-8F1B-B9612D2044D8}">
    <text>Direct Debit to Unity Trust Bank for £6.00 fees on 30/06/25.</text>
  </threadedComment>
  <threadedComment ref="I17" dT="2025-11-23T16:00:50.38" personId="{4A2A4441-067B-4294-B1DF-CC355F66F201}" id="{6CF98485-4D93-4E92-84ED-932E68E19EAB}">
    <text>Direct Debit of Bank Fees £6.00 on 31/07/25</text>
  </threadedComment>
  <threadedComment ref="J17" dT="2025-11-23T14:47:48.70" personId="{4A2A4441-067B-4294-B1DF-CC355F66F201}" id="{7B23990C-101B-4D49-B56F-46A952407295}">
    <text>£6 paid by Direct Debit to Microsoft on 31/08/25.</text>
  </threadedComment>
  <threadedComment ref="K17" dT="2025-11-23T14:47:48.70" personId="{4A2A4441-067B-4294-B1DF-CC355F66F201}" id="{183C48F3-DA67-4A76-AC85-ECDB9D308570}">
    <text>£6 paid by Direct Debit to Microsoft on 30/09/25.</text>
  </threadedComment>
  <threadedComment ref="L17" dT="2025-11-23T10:39:52.00" personId="{4A2A4441-067B-4294-B1DF-CC355F66F201}" id="{5AFBD7F1-32BD-4484-8736-4766576AD87F}">
    <text>Bank Payment £6.00 to Unity Trust  on 24/10/25.</text>
  </threadedComment>
  <threadedComment ref="B21" dT="2025-01-09T20:05:04.73" personId="{4A2A4441-067B-4294-B1DF-CC355F66F201}" id="{7133B168-E600-451F-A406-1168703F90C1}">
    <text>SLCC - £120, ICO £40</text>
  </threadedComment>
  <threadedComment ref="H21" dT="2025-11-23T16:10:00.92" personId="{4A2A4441-067B-4294-B1DF-CC355F66F201}" id="{4C4F9884-42FC-4B06-A822-13F5E1A88C87}">
    <text>Direct Debit of £47.00 for Information Commissioner on 26/05/25.</text>
  </threadedComment>
  <threadedComment ref="B25" dT="2025-01-09T20:05:04.73" personId="{4A2A4441-067B-4294-B1DF-CC355F66F201}" id="{FEC8E155-9A90-4621-9E38-20FFD82026AF}">
    <text>SLCC - £120, ICO £40</text>
  </threadedComment>
  <threadedComment ref="G28" dT="2025-11-23T16:23:25.26" personId="{4A2A4441-067B-4294-B1DF-CC355F66F201}" id="{A0336341-13E9-4F08-BE35-F85DA0EF1E0B}">
    <text>Bank Payment to Zurich insurance for SPC public liability insurance £819.95 on 14/05/25.</text>
  </threadedComment>
  <threadedComment ref="I30" dT="2025-11-23T15:59:50.60" personId="{4A2A4441-067B-4294-B1DF-CC355F66F201}" id="{5EBFE2B7-3C7E-472D-B963-B7720DA3A2E7}">
    <text>First 3 direct monthsworth of Direct Debit Payments £90 on 24/07/25.</text>
  </threadedComment>
  <threadedComment ref="J30" dT="2025-11-23T15:17:27.42" personId="{4A2A4441-067B-4294-B1DF-CC355F66F201}" id="{47C225C1-F74A-4FF1-820D-55F29ABCD0D3}">
    <text>Paid from Bank £30.00 to Westcott on 26/08/25.</text>
  </threadedComment>
  <threadedComment ref="K30" dT="2025-11-23T14:46:55.49" personId="{4A2A4441-067B-4294-B1DF-CC355F66F201}" id="{C340D5D8-B903-4743-9CCD-A72BB4B9C553}">
    <text>£30 paid by direct debit to Westcott on 03/09/25.</text>
  </threadedComment>
  <threadedComment ref="L30" dT="2025-11-23T10:41:10.94" personId="{4A2A4441-067B-4294-B1DF-CC355F66F201}" id="{FFA0159B-2090-4239-B176-9F2FF4EECF39}">
    <text>Bank Payment £30.00 to Westcott, paid 24/10/25.</text>
  </threadedComment>
  <threadedComment ref="G33" dT="2025-11-23T16:20:36.64" personId="{4A2A4441-067B-4294-B1DF-CC355F66F201}" id="{A72FC572-108B-4C68-A41A-D6490E4E710B}">
    <text>Bank Payment to Penny Clapham for Internal Audit £103.00 on 14/05/25.</text>
  </threadedComment>
  <threadedComment ref="J35" dT="2025-11-23T14:58:59.72" personId="{4A2A4441-067B-4294-B1DF-CC355F66F201}" id="{FE84589A-6CF0-4CAE-8F06-EEDB96BB8282}">
    <text xml:space="preserve">Bank Payment to PKF (Auditing) of £378.00 on 06/08/25.  </text>
  </threadedComment>
  <threadedComment ref="G44" dT="2025-11-23T16:16:56.06" personId="{4A2A4441-067B-4294-B1DF-CC355F66F201}" id="{E8607298-C075-46B7-B799-24B8AA042E64}">
    <text>Bank Payment to Rhino Play for Repairs to Children’s Play Area £6,805.20 on 14/05/25.</text>
  </threadedComment>
  <threadedComment ref="J45" dT="2025-11-23T15:02:35.46" personId="{4A2A4441-067B-4294-B1DF-CC355F66F201}" id="{A91BE697-A421-4A21-8767-63F73DB0B856}">
    <text>Bank Payment £781.68 to Evolution Skate Parks on 06/08/25.</text>
  </threadedComment>
  <threadedComment ref="I46" dT="2025-11-23T15:50:37.17" personId="{4A2A4441-067B-4294-B1DF-CC355F66F201}" id="{3901925D-B7FD-45ED-87D0-C55CDC09BD7E}">
    <text>Bank payment of £13,968.00 to White Rose Tarmacadam for Skate Park resurfacing on 09/07/25.</text>
  </threadedComment>
  <threadedComment ref="M49" dT="2025-11-23T10:20:59.11" personId="{4A2A4441-067B-4294-B1DF-CC355F66F201}" id="{4F92BA49-0777-4076-95B8-7609908D5866}">
    <text>Bank Payment to Silverton Community Hall £184.00 on 06/11/25.  This consisted of £140 basic, plus extra bookings for additional meeting on 25/11/25 plus training meeting.</text>
  </threadedComment>
  <threadedComment ref="I50" dT="2025-11-23T15:57:24.14" personId="{4A2A4441-067B-4294-B1DF-CC355F66F201}" id="{5C03298B-BB13-41AD-838E-19E5DD9B166E}">
    <text>Bank Payment of £25.00 for Silverton Room 4 U for meeting of Broad Oak Working Group.</text>
  </threadedComment>
  <threadedComment ref="J55" dT="2025-11-23T15:07:50.59" personId="{4A2A4441-067B-4294-B1DF-CC355F66F201}" id="{C0B5EBA5-E8A4-4F41-9C49-3501785CC960}">
    <text>Bank Payment £980.40 to Smith of Derby for Clock annual maintenance paid on 06/08/24.</text>
  </threadedComment>
  <threadedComment ref="I64" dT="2025-11-23T15:58:31.35" personId="{4A2A4441-067B-4294-B1DF-CC355F66F201}" id="{08CCAC9D-83D4-4F8C-AF1E-0141FEE5B311}">
    <text>Bank Payment donation of £500.00 to Silverton Street Market on 09/07/25.</text>
  </threadedComment>
  <threadedComment ref="G71" dT="2025-11-23T16:18:37.01" personId="{4A2A4441-067B-4294-B1DF-CC355F66F201}" id="{85FF5711-740B-4C15-9928-3DD1E468C822}">
    <text>Bank Payment of £17.64 for DAAT floodlights on 14/05/24.</text>
  </threadedComment>
  <threadedComment ref="J71" dT="2025-11-23T15:19:07.17" personId="{4A2A4441-067B-4294-B1DF-CC355F66F201}" id="{858818AA-81B9-49AF-8BB9-028C48752A57}">
    <text>Paid from Bank to Eon £54.23 on 06/08/25.</text>
  </threadedComment>
  <threadedComment ref="G77" dT="2025-11-23T16:14:19.79" personId="{4A2A4441-067B-4294-B1DF-CC355F66F201}" id="{197A1AB5-7442-4D07-8CA5-425C6F157D61}">
    <text>Bank Payment of £625.00 to Denis Marsden Handyman for routine work on 14/05/25.</text>
  </threadedComment>
  <threadedComment ref="H77" dT="2025-11-23T16:07:03.80" personId="{4A2A4441-067B-4294-B1DF-CC355F66F201}" id="{093D5734-D971-460C-B895-7318EB18C37A}">
    <text>Bank Payment for Denis Marsden, Handyman of £625 on 04/06/25.</text>
  </threadedComment>
  <threadedComment ref="I77" dT="2025-11-23T15:49:01.68" personId="{4A2A4441-067B-4294-B1DF-CC355F66F201}" id="{911C4C1E-FE85-4561-AE43-B67A921B6435}">
    <text>Bank payment £650 to Denis Marsden for routine Handyman work on 09/07/25.  Payments this month and onwards increase from £625 to £650 as he now keeps down weeds on the pond site and the church road bank.</text>
  </threadedComment>
  <threadedComment ref="J77" dT="2025-11-23T15:09:11.31" personId="{4A2A4441-067B-4294-B1DF-CC355F66F201}" id="{07D31A90-C0B2-4CA3-BD7F-3333DD790128}">
    <text>Bank payment £650.00 to Denis Marsden for routine handyman work on 06/08/25.</text>
  </threadedComment>
  <threadedComment ref="K77" dT="2025-11-23T11:38:29.36" personId="{4A2A4441-067B-4294-B1DF-CC355F66F201}" id="{145D4053-20FB-4269-AC23-7710B9DC7232}">
    <text>Bank Payment of £675.00 consisting of £650 routine work, plus £25.00 ad hoc to replace damaged slab in Big Rec, paid on 03/09/25.</text>
  </threadedComment>
  <threadedComment ref="L77" dT="2025-11-23T11:20:28.40" personId="{4A2A4441-067B-4294-B1DF-CC355F66F201}" id="{DFF3F93F-A235-4D8D-B7FF-618BD69177EA}">
    <text>£650.00 paid to Denis Marsden on 08/10/25.</text>
  </threadedComment>
  <threadedComment ref="M77" dT="2025-11-23T10:22:30.25" personId="{4A2A4441-067B-4294-B1DF-CC355F66F201}" id="{7505A2F6-CFAE-43B4-9CDF-CBD71454EC51}">
    <text>Bank Payment £650.00 to Denis Marsden on 06/11/25.</text>
  </threadedComment>
  <threadedComment ref="J79" dT="2025-11-23T14:55:33.20" personId="{4A2A4441-067B-4294-B1DF-CC355F66F201}" id="{271BAC47-C88D-4017-AD22-93E1DC09EEFC}">
    <text>Paid £300 from Bank to Denis for Seats on little Rec on 06/08/25.</text>
  </threadedComment>
  <threadedComment ref="K79" dT="2025-11-23T11:39:57.62" personId="{4A2A4441-067B-4294-B1DF-CC355F66F201}" id="{B2C3F13A-95A5-4EA3-9F69-181B3EFA5451}">
    <text>Bank Payment of £675.00 consisting of £650 routine work, plus £25.00 ad hoc to replace damaged slab in Big Rec, paid on 03/09/25.</text>
  </threadedComment>
  <threadedComment ref="M80" dT="2025-11-23T10:33:11.11" personId="{4A2A4441-067B-4294-B1DF-CC355F66F201}" id="{82609858-DBC7-43E9-AF5A-2B9B9EA6BFB0}">
    <text>Bank Payment 06/11/25 to Stephen Land for clearing the Cobbled Path.</text>
  </threadedComment>
  <threadedComment ref="G84" dT="2025-11-23T16:21:52.19" personId="{4A2A4441-067B-4294-B1DF-CC355F66F201}" id="{836B680F-0A1E-4B12-A1EC-493C4D1A2D97}">
    <text>Bank Payment to Parsons for April and May cutting £2,016.44 on 14/05/25.</text>
  </threadedComment>
  <threadedComment ref="I84" dT="2025-11-23T15:48:02.03" personId="{4A2A4441-067B-4294-B1DF-CC355F66F201}" id="{AB023D68-2D0F-40CC-A243-7A388456D679}">
    <text>2 Bank Payments for June and July Invoices £1,337.93+£1,196.40 totalling £2543.33, both paid on 09/07/25.</text>
  </threadedComment>
  <threadedComment ref="J84" dT="2025-11-23T15:03:37.08" personId="{4A2A4441-067B-4294-B1DF-CC355F66F201}" id="{A5F9F931-7F17-40B5-8A23-90360BC4B6C2}">
    <text>Bank Paid £944.81 to Parsons on 06/08/25.</text>
  </threadedComment>
  <threadedComment ref="L84" dT="2025-11-23T10:36:27.80" personId="{4A2A4441-067B-4294-B1DF-CC355F66F201}" id="{FF46648A-4845-48C5-A3E3-9A77C4222D0C}">
    <text>Bank Payment £1196.40 on 8th October.</text>
  </threadedComment>
  <threadedComment ref="M84" dT="2025-11-23T10:23:07.30" personId="{4A2A4441-067B-4294-B1DF-CC355F66F201}" id="{5DCE6385-C340-4E41-882C-CDFA094732D9}">
    <text>Bank Payment £944.81 on 25/11/25 to Parsons.</text>
  </threadedComment>
  <threadedComment ref="J89" dT="2025-11-23T15:10:01.52" personId="{4A2A4441-067B-4294-B1DF-CC355F66F201}" id="{EF0CE4FE-C66C-4ACF-9482-31613937E34D}">
    <text>Bank Payment of £1,324.80 for safety inspection on 06/08/25.</text>
  </threadedComment>
  <threadedComment ref="G96" dT="2025-11-23T16:15:29.33" personId="{4A2A4441-067B-4294-B1DF-CC355F66F201}" id="{D4BCB5C5-068D-4279-AE3D-0F29F97210F8}">
    <text>Bank Payment of £3,250.00 to Silverton Evangelical Church for Youth Worker £3,250.00 on 14/05/25.</text>
  </threadedComment>
  <threadedComment ref="B100" dT="2025-01-09T23:49:11.09" personId="{4A2A4441-067B-4294-B1DF-CC355F66F201}" id="{147BDE6F-DE76-4814-9359-64F82885B970}">
    <text>Lime Avenue Regeneration, other Tree Planting  and Maintenance</text>
  </threadedComment>
  <threadedComment ref="G100" dT="2025-11-23T16:27:14.81" personId="{4A2A4441-067B-4294-B1DF-CC355F66F201}" id="{6FD2C5E5-D9CC-417F-9362-3FC51E2E2955}">
    <text>Bank Payment of £924.00 to Hi Line for Berry Tree Risk Assessment (£504.00) and Big Rec Tree Assessment (£420) on 14/05/25.</text>
  </threadedComment>
  <threadedComment ref="G101" dT="2025-11-23T16:27:34.19" personId="{4A2A4441-067B-4294-B1DF-CC355F66F201}" id="{B9AC458D-D987-4F95-BB98-A162383FC5D5}">
    <text xml:space="preserve">Bank Payment of £924.00 to Hi Line for Berry Tree Risk Assessment (£504.00) and Big Rec Tree Assessment (£420) on 14/05/25.
</text>
  </threadedComment>
  <threadedComment ref="B107" dT="2025-01-09T16:01:52.52" personId="{4A2A4441-067B-4294-B1DF-CC355F66F201}" id="{3EF4A223-BBA4-4A1F-9B93-99898EFFB95F}">
    <text>Fire Station, Bus Shelters, Gazebo, Tennis Hut, War Memorial, Additional Traffic Signs and Lighting, Flagpole (via RBL), Equipment other than on Big Rec.  To be reviewed in 25/26 - consider splitting into other funds.</text>
  </threadedComment>
  <threadedComment ref="G107" dT="2025-11-23T16:25:19.92" personId="{4A2A4441-067B-4294-B1DF-CC355F66F201}" id="{F704D154-BE39-42BF-B5D9-1ACCAA4CBB6C}">
    <text>Bank Payment of £200.00 to Paul Gawen for Bus Shelter roof leak fix on 14/05/25.</text>
  </threadedComment>
  <threadedComment ref="L111" dT="2025-11-23T11:22:28.77" personId="{4A2A4441-067B-4294-B1DF-CC355F66F201}" id="{7DA2CD19-BDDF-4457-8DC0-CEAE5731E645}">
    <text xml:space="preserve">Total £922.78 Bank Payment. consisting of Pay £746.40+£26.00 Allowance = £772.40; in same payment was £2.50 for Card, and defibrillator for £119.99.  This totals £894.89, leaving a missing item of £27.89 to be accounted for.
</text>
  </threadedComment>
  <threadedComment ref="F133" dT="2025-11-23T10:42:45.93" personId="{4A2A4441-067B-4294-B1DF-CC355F66F201}" id="{5C491835-5CED-428A-8A41-B9B41C19D9BC}">
    <text>Received early in financial year.  Exact Date not known.</text>
  </threadedComment>
  <threadedComment ref="L133" dT="2025-11-23T10:42:45.93" personId="{4A2A4441-067B-4294-B1DF-CC355F66F201}" id="{506711BA-5160-43CD-9429-F96026AA13FE}">
    <text>Received 06/10/25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F4" dT="2025-11-23T16:35:10.58" personId="{4A2A4441-067B-4294-B1DF-CC355F66F201}" id="{CD0565A1-3C77-4070-A3EE-886C74003E98}">
    <text xml:space="preserve">Figure taken from April Minutes.  Need to Cross check with April Statement (on old Bank Account).
</text>
  </threadedComment>
  <threadedComment ref="G4" dT="2025-11-23T16:23:58.06" personId="{4A2A4441-067B-4294-B1DF-CC355F66F201}" id="{9DDDC14E-12F5-4608-A25C-3CF59499FDEE}">
    <text>Clerk Wages £732.88 paid on 14/05/25.</text>
  </threadedComment>
  <threadedComment ref="H4" dT="2025-11-23T16:08:52.98" personId="{4A2A4441-067B-4294-B1DF-CC355F66F201}" id="{1C0C1B80-53C4-49F2-9514-B43AE70CD886}">
    <text>Bank Payment of Clerk’s wages of £708.16 paid on 04/06/25.</text>
  </threadedComment>
  <threadedComment ref="I4" dT="2025-11-23T15:55:59.45" personId="{4A2A4441-067B-4294-B1DF-CC355F66F201}" id="{D7DB5B36-2214-404C-B295-5DEED40B9B68}">
    <text>Payment by bank of £789.68 comprising £753.12 Pay, and mail (May £12.36, June £12.10, July, £12.10) £36.56.  This is the point at which we switch from paying in arrears to paying in advance.</text>
  </threadedComment>
  <threadedComment ref="J4" dT="2025-11-23T15:05:48.94" personId="{4A2A4441-067B-4294-B1DF-CC355F66F201}" id="{2D8B6959-AFE8-4450-8367-AD12001F9709}">
    <text>Bank Paid £814.07 in total for Clerk’s wages (£803.08), Sim Card £0.99, Top Up £10.00).</text>
  </threadedComment>
  <threadedComment ref="K4" dT="2025-11-23T11:44:50.63" personId="{4A2A4441-067B-4294-B1DF-CC355F66F201}" id="{9E5646DD-DA71-47BB-BC3E-2E62894E04F9}">
    <text xml:space="preserve">Bank Payment of £877.59, consisting of £839.48 for salary and backpay, plus £26.00 for allowances (totalling £865.48), and £12.10 for email. </text>
  </threadedComment>
  <threadedComment ref="L4" dT="2025-11-23T10:50:57.52" personId="{4A2A4441-067B-4294-B1DF-CC355F66F201}" id="{D3DF0D13-EB45-4643-AD0F-8492EAD49358}">
    <text>Total £922.78 Bank Payment. consisting of Pay £746.40+£26.00 Allowance = £772.40; in same payment was £2.50 for Card, £12.10 for email, and £15.79 for paper.  Finally, the defibrillator case for £119.99.  This totals £894.89, leaving a missing item of £27.89 to be accounted for.</text>
  </threadedComment>
  <threadedComment ref="M4" dT="2025-11-23T10:30:44.98" personId="{4A2A4441-067B-4294-B1DF-CC355F66F201}" id="{525F8AF9-7874-4E56-832C-B98C30FFCC3D}">
    <text>Bank Payment 06/11/25, £784.5, consisting of £772.40 for Salary and Allowances and £12.10 for Clerk's email.</text>
  </threadedComment>
  <threadedComment ref="F6" dT="2025-11-23T16:34:37.30" personId="{4A2A4441-067B-4294-B1DF-CC355F66F201}" id="{E7305365-7003-48E7-B171-A0BF54E840C0}">
    <text>Figure taken from April Minutes.  Need to Cross check with April Statement (on old Bank Account).</text>
  </threadedComment>
  <threadedComment ref="I6" dT="2025-11-23T15:45:57.13" personId="{4A2A4441-067B-4294-B1DF-CC355F66F201}" id="{9C73BF72-2F2D-404D-B6FF-7B448F4DA8FF}">
    <text>Bank Payment £744.73 for Employer’s PAYE NI on 09/07/25.</text>
  </threadedComment>
  <threadedComment ref="L6" dT="2025-11-23T16:53:44.54" personId="{4A2A4441-067B-4294-B1DF-CC355F66F201}" id="{532942C9-C73E-4F98-9588-6E16EBDE148A}">
    <text>Bank Payment to HMRC for Employers NI for Clerk for 3 months, paid on 08/10/25.</text>
  </threadedComment>
  <threadedComment ref="G8" dT="2025-11-23T14:57:33.25" personId="{4A2A4441-067B-4294-B1DF-CC355F66F201}" id="{FC3B7F8C-78AA-4630-9187-E0F667EBABCD}">
    <text>Paid from Bank £95.59 for printer cartridges to Simon Hedges who bought them for Sheila.  No VAT Claimable. Paid on 15/05/25.</text>
  </threadedComment>
  <threadedComment ref="J8" dT="2025-11-23T14:57:33.25" personId="{4A2A4441-067B-4294-B1DF-CC355F66F201}" id="{2BB788BD-668C-420D-942F-54ECB4B9FD33}">
    <text>Paid from Bank £95.59 for printer cartridges to Simon Hedges who bought them for Sheila.  No VAT Claimable. Paid on 06/08/25.</text>
  </threadedComment>
  <threadedComment ref="J9" dT="2025-11-23T15:06:00.97" personId="{4A2A4441-067B-4294-B1DF-CC355F66F201}" id="{98EA173A-45D9-456E-BAE1-DD29E18EB364}">
    <text>Bank Paid £814.07 in total for Clerk’s wages (£803.08), Sim Card £0.99, Top Up £10.00).</text>
  </threadedComment>
  <threadedComment ref="I11" dT="2025-11-23T15:55:53.21" personId="{4A2A4441-067B-4294-B1DF-CC355F66F201}" id="{AE7E9FAE-444F-4DCE-923F-00C0CAD201C9}">
    <text>Payment by bank of £789.68 comprising £753.12 Pay, and mail (May £12.36, June £12.10, July, £12.10) £36.56.  This is the point at which we switch from paying in arrears to paying in advance.</text>
  </threadedComment>
  <threadedComment ref="K11" dT="2025-11-23T11:45:00.07" personId="{4A2A4441-067B-4294-B1DF-CC355F66F201}" id="{BCFD444C-EAE9-490C-91FE-DF8ECCD38D54}">
    <text xml:space="preserve">Bank Payment of £877.59, consisting of £839.48 for salary and backpay, plus £26.00 for allowances (totalling £865.48), and £12.10 for email. </text>
  </threadedComment>
  <threadedComment ref="M11" dT="2025-11-23T10:31:04.16" personId="{4A2A4441-067B-4294-B1DF-CC355F66F201}" id="{872C0400-B2B1-46A7-846F-51AE02EAD920}">
    <text>Bank Payment 06/11/25, £784.5, consisting of £772.40 for Salary and Allowances and £12.10 for Clerk's email.</text>
  </threadedComment>
  <threadedComment ref="G18" dT="2025-11-23T16:11:27.37" personId="{4A2A4441-067B-4294-B1DF-CC355F66F201}" id="{9B649A82-E631-4AE8-BD6D-E6DB109E451E}">
    <text>Direct Debit to Unity Trust Bank for £6.00 fees on 31/05/25.</text>
  </threadedComment>
  <threadedComment ref="H18" dT="2025-11-23T16:11:27.37" personId="{4A2A4441-067B-4294-B1DF-CC355F66F201}" id="{923C37A0-9729-4733-8DC8-D45D02162469}">
    <text>Direct Debit to Unity Trust Bank for £6.00 fees on 30/06/25.</text>
  </threadedComment>
  <threadedComment ref="I18" dT="2025-11-23T16:00:50.38" personId="{4A2A4441-067B-4294-B1DF-CC355F66F201}" id="{07EECAA2-C9F5-4466-9C7B-24155A394480}">
    <text>Direct Debit of Bank Fees £6.00 on 31/07/25</text>
  </threadedComment>
  <threadedComment ref="J18" dT="2025-11-23T14:47:48.70" personId="{4A2A4441-067B-4294-B1DF-CC355F66F201}" id="{8740AD7A-E8A6-4088-B7B1-0673F1D08E90}">
    <text>£6 paid by Direct Debit to Microsoft on 31/08/25.</text>
  </threadedComment>
  <threadedComment ref="K18" dT="2025-11-23T14:47:48.70" personId="{4A2A4441-067B-4294-B1DF-CC355F66F201}" id="{49E3AC4E-A5A3-4816-ADDD-E7C350B938AB}">
    <text>£6 paid by Direct Debit to Microsoft on 30/09/25.</text>
  </threadedComment>
  <threadedComment ref="L18" dT="2025-11-23T10:39:52.00" personId="{4A2A4441-067B-4294-B1DF-CC355F66F201}" id="{9DD22ADF-C2F4-4284-ADFF-4BD3EA4758B9}">
    <text>Bank Payment £6.00 to Unity Trust  on 24/10/25.</text>
  </threadedComment>
  <threadedComment ref="B22" dT="2025-01-09T20:05:04.73" personId="{4A2A4441-067B-4294-B1DF-CC355F66F201}" id="{04F70A6D-E97D-4EE7-B569-54295100DC21}">
    <text>SLCC - £120, ICO £40</text>
  </threadedComment>
  <threadedComment ref="H22" dT="2025-11-23T16:10:00.92" personId="{4A2A4441-067B-4294-B1DF-CC355F66F201}" id="{C3F0C88F-2FD0-4A93-9CF2-894AE81720AF}">
    <text>Direct Debit of £47.00 for Information Commissioner on 26/05/25.</text>
  </threadedComment>
  <threadedComment ref="B26" dT="2025-01-09T20:05:04.73" personId="{4A2A4441-067B-4294-B1DF-CC355F66F201}" id="{24B09126-6CEF-4B71-BE0D-79157C86DCE5}">
    <text>SLCC - £120, ICO £40</text>
  </threadedComment>
  <threadedComment ref="G29" dT="2025-11-23T16:23:25.26" personId="{4A2A4441-067B-4294-B1DF-CC355F66F201}" id="{AF26516A-4131-4663-B41C-91E0BDEE8704}">
    <text>Bank Payment to Zurich insurance for SPC public liability insurance £819.95 on 14/05/25.</text>
  </threadedComment>
  <threadedComment ref="I31" dT="2025-11-23T15:59:50.60" personId="{4A2A4441-067B-4294-B1DF-CC355F66F201}" id="{D0F129EE-998D-4073-8F85-E8ACA5455C1A}">
    <text>First 3 direct monthsworth of Direct Debit Payments £90 on 24/07/25.</text>
  </threadedComment>
  <threadedComment ref="J31" dT="2025-11-23T15:17:27.42" personId="{4A2A4441-067B-4294-B1DF-CC355F66F201}" id="{C949DD67-7214-40DE-A6BA-003211B00E8D}">
    <text>Paid from Bank £30.00 to Westcott on 26/08/25.</text>
  </threadedComment>
  <threadedComment ref="K31" dT="2025-11-23T14:46:55.49" personId="{4A2A4441-067B-4294-B1DF-CC355F66F201}" id="{A97E01E0-A712-4BAB-8518-B5877E5E671D}">
    <text>£30 paid by direct debit to Westcott on 03/09/25.</text>
  </threadedComment>
  <threadedComment ref="L31" dT="2025-11-23T10:41:10.94" personId="{4A2A4441-067B-4294-B1DF-CC355F66F201}" id="{AD9046E0-0334-407B-8E09-5F90A0073CBE}">
    <text>Bank Payment £30.00 to Westcott, paid 24/10/25.</text>
  </threadedComment>
  <threadedComment ref="G34" dT="2025-11-23T16:20:36.64" personId="{4A2A4441-067B-4294-B1DF-CC355F66F201}" id="{DFD3D899-DBBA-41B5-95A5-0495B822F42A}">
    <text>Bank Payment to Penny Clapham for Internal Audit £103.00 on 14/05/25.</text>
  </threadedComment>
  <threadedComment ref="J36" dT="2025-11-23T14:58:59.72" personId="{4A2A4441-067B-4294-B1DF-CC355F66F201}" id="{0522E0C4-EC9B-4AAE-AC5B-F68D07B21CF2}">
    <text xml:space="preserve">Bank Payment to PKF (Auditing) of £378.00 on 06/08/25.  </text>
  </threadedComment>
  <threadedComment ref="L37" dT="2025-11-25T21:14:03.88" personId="{4A2A4441-067B-4294-B1DF-CC355F66F201}" id="{CFF53B09-D62D-4E46-A615-17526F14BE3B}">
    <text>Confirmed by Clerk at November meeting that we can reclaim VAT on this item.</text>
  </threadedComment>
  <threadedComment ref="G45" dT="2025-11-23T16:16:56.06" personId="{4A2A4441-067B-4294-B1DF-CC355F66F201}" id="{44EB05BD-270B-439B-8353-ABF3155D7664}">
    <text>Bank Payment to Rhino Play for Repairs to Children’s Play Area £6,805.20 on 14/05/25.</text>
  </threadedComment>
  <threadedComment ref="J46" dT="2025-11-23T15:02:35.46" personId="{4A2A4441-067B-4294-B1DF-CC355F66F201}" id="{A584301A-B652-4658-AFF6-7C2A9F3A80E9}">
    <text>Bank Payment £781.68 to Evolution Skate Parks on 06/08/25.</text>
  </threadedComment>
  <threadedComment ref="I47" dT="2025-11-23T15:50:37.17" personId="{4A2A4441-067B-4294-B1DF-CC355F66F201}" id="{A0525E5D-AC83-484B-B59C-8DA585E6447E}">
    <text>Bank payment of £13,968.00 to White Rose Tarmacadam for Skate Park resurfacing on 09/07/25.</text>
  </threadedComment>
  <threadedComment ref="M50" dT="2025-11-23T10:20:59.11" personId="{4A2A4441-067B-4294-B1DF-CC355F66F201}" id="{B085CA58-C1C1-4FE4-97AC-D1861D7C712E}">
    <text>Bank Payment to Silverton Community Hall £184.00 on 06/11/25.  This consisted of £140 basic, plus extra bookings for additional meeting on 25/11/25 plus training meeting.</text>
  </threadedComment>
  <threadedComment ref="I51" dT="2025-11-23T15:57:24.14" personId="{4A2A4441-067B-4294-B1DF-CC355F66F201}" id="{94E13A34-31A5-4868-A771-044DF4C81D01}">
    <text>Bank Payment of £25.00 for Silverton Room 4 U for meeting of Broad Oak Working Group.</text>
  </threadedComment>
  <threadedComment ref="J56" dT="2025-11-23T15:07:50.59" personId="{4A2A4441-067B-4294-B1DF-CC355F66F201}" id="{0081F7C6-6328-4C11-8733-A356EF332E62}">
    <text>Bank Payment £980.40 to Smith of Derby for Clock annual maintenance paid on 06/08/24.</text>
  </threadedComment>
  <threadedComment ref="I65" dT="2025-11-23T15:58:31.35" personId="{4A2A4441-067B-4294-B1DF-CC355F66F201}" id="{A1B974DC-1538-4C3C-8BD5-45FFF76CFBA8}">
    <text>Bank Payment donation of £500.00 to Silverton Street Market on 09/07/25.</text>
  </threadedComment>
  <threadedComment ref="G72" dT="2025-11-23T16:18:37.01" personId="{4A2A4441-067B-4294-B1DF-CC355F66F201}" id="{989FB09F-3AC2-47C1-8D56-D328C97F7735}">
    <text>Bank Payment of £17.64 for DAAT floodlights on 14/05/24.</text>
  </threadedComment>
  <threadedComment ref="J72" dT="2025-11-23T15:19:07.17" personId="{4A2A4441-067B-4294-B1DF-CC355F66F201}" id="{05A55990-43DC-4C82-BAAF-A6AEA179FEB5}">
    <text>Paid from Bank to Eon £54.23 on 06/08/25.</text>
  </threadedComment>
  <threadedComment ref="G78" dT="2025-11-23T16:14:19.79" personId="{4A2A4441-067B-4294-B1DF-CC355F66F201}" id="{78EB56C9-AD7A-46CD-8ED9-EABF9B21DC87}">
    <text>Bank Payment of £625.00 to Denis Marsden Handyman for routine work on 14/05/25.</text>
  </threadedComment>
  <threadedComment ref="H78" dT="2025-11-23T16:07:03.80" personId="{4A2A4441-067B-4294-B1DF-CC355F66F201}" id="{C0F8AFCF-2D0D-494A-B25A-705B5A503458}">
    <text>Bank Payment for Denis Marsden, Handyman of £625 on 04/06/25.</text>
  </threadedComment>
  <threadedComment ref="I78" dT="2025-11-23T15:49:01.68" personId="{4A2A4441-067B-4294-B1DF-CC355F66F201}" id="{81CA2A78-0B21-4C21-8AAD-E27E38478FE1}">
    <text>Bank payment £650 to Denis Marsden for routine Handyman work on 09/07/25.  Payments this month and onwards increase from £625 to £650 as he now keeps down weeds on the pond site and the church road bank.</text>
  </threadedComment>
  <threadedComment ref="J78" dT="2025-11-23T15:09:11.31" personId="{4A2A4441-067B-4294-B1DF-CC355F66F201}" id="{7BEAFF7E-03CD-44ED-A60C-81564C878863}">
    <text>Bank payment £650.00 to Denis Marsden for routine handyman work on 06/08/25.</text>
  </threadedComment>
  <threadedComment ref="K78" dT="2025-11-23T11:38:29.36" personId="{4A2A4441-067B-4294-B1DF-CC355F66F201}" id="{A0F529D6-8AB5-4058-A368-779D4769B555}">
    <text>Bank Payment of £675.00 consisting of £650 routine work, plus £25.00 ad hoc to replace damaged slab in Big Rec, paid on 03/09/25.</text>
  </threadedComment>
  <threadedComment ref="L78" dT="2025-11-23T11:20:28.40" personId="{4A2A4441-067B-4294-B1DF-CC355F66F201}" id="{FE18555C-BE03-47C9-8378-686EFE1A74AA}">
    <text>£650.00 paid to Denis Marsden on 08/10/25.</text>
  </threadedComment>
  <threadedComment ref="M78" dT="2025-11-23T10:22:30.25" personId="{4A2A4441-067B-4294-B1DF-CC355F66F201}" id="{C5F2F579-F02B-4A07-902E-42EB567AE5D8}">
    <text>Bank Payment £650.00 to Denis Marsden on 06/11/25.</text>
  </threadedComment>
  <threadedComment ref="J80" dT="2025-11-23T14:55:33.20" personId="{4A2A4441-067B-4294-B1DF-CC355F66F201}" id="{424DECA2-B3A5-4734-BF82-DBC5026C6567}">
    <text>Paid £300 from Bank to Denis for Seats on little Rec on 06/08/25.</text>
  </threadedComment>
  <threadedComment ref="K80" dT="2025-11-23T11:39:57.62" personId="{4A2A4441-067B-4294-B1DF-CC355F66F201}" id="{EE04132C-1414-4805-A27B-A69FF56C19A9}">
    <text>Bank Payment of £675.00 consisting of £650 routine work, plus £25.00 ad hoc to replace damaged slab in Big Rec, paid on 03/09/25.</text>
  </threadedComment>
  <threadedComment ref="M81" dT="2025-11-23T10:33:11.11" personId="{4A2A4441-067B-4294-B1DF-CC355F66F201}" id="{5F1D5D4F-9292-4D56-A0B1-3079E8714E4E}">
    <text>Bank Payment 06/11/25 to Stephen Land for clearing the Cobbled Path.</text>
  </threadedComment>
  <threadedComment ref="G85" dT="2025-11-23T16:21:52.19" personId="{4A2A4441-067B-4294-B1DF-CC355F66F201}" id="{47C200DB-9FDD-4EB8-986D-43FB0546741E}">
    <text>Bank Payment to Parsons for April and May cutting £2,016.44 on 14/05/25.</text>
  </threadedComment>
  <threadedComment ref="I85" dT="2025-11-23T15:48:02.03" personId="{4A2A4441-067B-4294-B1DF-CC355F66F201}" id="{5CB11829-45A4-48B3-A6E9-023829B36419}">
    <text>2 Bank Payments for June and July Invoices £1,337.93+£1,196.40 totalling £2543.33, both paid on 09/07/25.</text>
  </threadedComment>
  <threadedComment ref="J85" dT="2025-11-23T15:03:37.08" personId="{4A2A4441-067B-4294-B1DF-CC355F66F201}" id="{4F14D605-960C-4919-A7DD-A83D1F042EE2}">
    <text>Bank Paid £944.81 to Parsons on 06/08/25.</text>
  </threadedComment>
  <threadedComment ref="L85" dT="2025-11-23T10:36:27.80" personId="{4A2A4441-067B-4294-B1DF-CC355F66F201}" id="{DE4B638E-A790-422B-8DE3-E180FD16DF42}">
    <text>Bank Payment £1196.40 on 8th October.</text>
  </threadedComment>
  <threadedComment ref="M85" dT="2025-11-23T10:23:07.30" personId="{4A2A4441-067B-4294-B1DF-CC355F66F201}" id="{770D602C-83D1-4762-9DA6-7A0DF212C436}">
    <text>Bank Payment £944.81 on 25/11/25 to Parsons.</text>
  </threadedComment>
  <threadedComment ref="J90" dT="2025-11-23T15:10:01.52" personId="{4A2A4441-067B-4294-B1DF-CC355F66F201}" id="{D23EA432-E848-44B7-A69A-E399CADAF8B8}">
    <text>Bank Payment of £1,324.80 for safety inspection on 06/08/25.</text>
  </threadedComment>
  <threadedComment ref="G97" dT="2025-11-23T16:15:29.33" personId="{4A2A4441-067B-4294-B1DF-CC355F66F201}" id="{1C2169F2-73D1-4636-892C-9B8BE03B4079}">
    <text>Bank Payment of £3,250.00 to Silverton Evangelical Church for Youth Worker £3,250.00 on 14/05/25.</text>
  </threadedComment>
  <threadedComment ref="B101" dT="2025-01-09T23:49:11.09" personId="{4A2A4441-067B-4294-B1DF-CC355F66F201}" id="{98AE91F8-83C5-4DF8-B29B-ED2E1CBA7897}">
    <text>Lime Avenue Regeneration, other Tree Planting  and Maintenance</text>
  </threadedComment>
  <threadedComment ref="G101" dT="2025-11-23T16:27:14.81" personId="{4A2A4441-067B-4294-B1DF-CC355F66F201}" id="{B01EAE1E-F4D6-4205-B28E-0A50871EA937}">
    <text>Bank Payment of £924.00 to Hi Line for Berry Tree Risk Assessment (£504.00) and Big Rec Tree Assessment (£420) on 14/05/25.</text>
  </threadedComment>
  <threadedComment ref="G102" dT="2025-11-23T16:27:34.19" personId="{4A2A4441-067B-4294-B1DF-CC355F66F201}" id="{A9ECA989-E103-4AB9-ADBE-23CEA69A9FAC}">
    <text xml:space="preserve">Bank Payment of £924.00 to Hi Line for Berry Tree Risk Assessment (£504.00) and Big Rec Tree Assessment (£420) on 14/05/25.
</text>
  </threadedComment>
  <threadedComment ref="B108" dT="2025-01-09T16:01:52.52" personId="{4A2A4441-067B-4294-B1DF-CC355F66F201}" id="{A77DFCAC-0CCB-4E84-9560-0E5B3BB77E05}">
    <text>Fire Station, Bus Shelters, Gazebo, Tennis Hut, War Memorial, Additional Traffic Signs and Lighting, Flagpole (via RBL), Equipment other than on Big Rec.  To be reviewed in 25/26 - consider splitting into other funds.</text>
  </threadedComment>
  <threadedComment ref="G108" dT="2025-11-23T16:25:19.92" personId="{4A2A4441-067B-4294-B1DF-CC355F66F201}" id="{3938C40C-074C-4485-B7EC-0F753C9C13AC}">
    <text>Bank Payment of £200.00 to Paul Gawen for Bus Shelter roof leak fix on 14/05/25.</text>
  </threadedComment>
  <threadedComment ref="L112" dT="2025-11-23T11:22:28.77" personId="{4A2A4441-067B-4294-B1DF-CC355F66F201}" id="{83A30678-4456-4683-8FCD-CF34C9B0F40C}">
    <text xml:space="preserve">Total £922.78 Bank Payment. consisting of Pay £746.40+£26.00 Allowance = £772.40; in same payment was £2.50 for Card, and defibrillator for £119.99.  This totals £894.89, leaving a missing item of £27.89 to be accounted for.
</text>
  </threadedComment>
  <threadedComment ref="F135" dT="2025-11-23T10:42:45.93" personId="{4A2A4441-067B-4294-B1DF-CC355F66F201}" id="{C027932F-53F2-43F6-8D2E-6E6E00DBB10E}">
    <text>Received early in financial year.  Exact Date not known.</text>
  </threadedComment>
  <threadedComment ref="L135" dT="2025-11-23T10:42:45.93" personId="{4A2A4441-067B-4294-B1DF-CC355F66F201}" id="{CC1CEDDC-20C5-4C81-9A37-F5D3ACE553DE}">
    <text>Received 06/10/25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F4" dT="2025-11-23T16:35:10.58" personId="{4A2A4441-067B-4294-B1DF-CC355F66F201}" id="{B92AE26A-530B-4C91-8854-B743F536EC32}">
    <text xml:space="preserve">Bank Payment of £830.13 for Clerk’s Wages of £716.16, Ink Cartridges £17.98 and McAfee Anti Virus £95.99.
</text>
  </threadedComment>
  <threadedComment ref="G4" dT="2025-11-23T16:23:58.06" personId="{4A2A4441-067B-4294-B1DF-CC355F66F201}" id="{1D73F5AF-3DCC-4009-B73B-2EFE48C5C994}">
    <text>Clerk Wages £732.88 paid on 14/05/25.</text>
  </threadedComment>
  <threadedComment ref="H4" dT="2025-11-23T16:08:52.98" personId="{4A2A4441-067B-4294-B1DF-CC355F66F201}" id="{B2FA402A-2D03-462A-87C7-5D5C1790F0A1}">
    <text>Bank Payment of Clerk’s wages of £708.16 paid on 04/06/25.</text>
  </threadedComment>
  <threadedComment ref="I4" dT="2025-11-23T15:55:59.45" personId="{4A2A4441-067B-4294-B1DF-CC355F66F201}" id="{4BDF8B8E-9BC4-4D73-BADE-0FDC6E91466B}">
    <text>Payment by bank of £789.68 comprising £753.12 Pay, and mail (May £12.36, June £12.10, July, £12.10) £36.56.  This is the point at which we switch from paying in arrears to paying in advance.</text>
  </threadedComment>
  <threadedComment ref="J4" dT="2025-11-23T15:05:48.94" personId="{4A2A4441-067B-4294-B1DF-CC355F66F201}" id="{55C8311E-A5ED-4B2C-9FB9-78546A3E588B}">
    <text>Bank Paid £814.07 in total for Clerk’s wages (£803.08), Sim Card £0.99, Top Up £10.00).</text>
  </threadedComment>
  <threadedComment ref="K4" dT="2025-11-23T11:44:50.63" personId="{4A2A4441-067B-4294-B1DF-CC355F66F201}" id="{B54C62D0-EA12-4346-A333-B807C10BB958}">
    <text xml:space="preserve">Bank Payment of £877.59, consisting of £839.48 for salary and backpay, plus £26.00 for allowances (totalling £865.48), and £12.10 for email. </text>
  </threadedComment>
  <threadedComment ref="L4" dT="2025-11-23T10:50:57.52" personId="{4A2A4441-067B-4294-B1DF-CC355F66F201}" id="{447282D6-16CD-4557-AD24-066986570199}">
    <text>Total £922.78 Bank Payment. consisting of Pay £746.40+£26.00 Allowance = £772.40; in same payment was £2.50 for Card, £12.10 for email, and £15.79 for paper.  Finally, the defibrillator case for £119.99.  This totals £894.89, leaving a missing item of £27.89 to be accounted for.</text>
  </threadedComment>
  <threadedComment ref="M4" dT="2025-11-23T10:30:44.98" personId="{4A2A4441-067B-4294-B1DF-CC355F66F201}" id="{920A4FA5-52C6-45ED-98BB-FD603C066557}">
    <text>Bank Payment 06/11/25, £784.5, consisting of £772.40 for Salary and Allowances and £12.10 for Clerk's email.</text>
  </threadedComment>
  <threadedComment ref="N4" dT="2025-12-20T17:29:09.19" personId="{4A2A4441-067B-4294-B1DF-CC355F66F201}" id="{FE7D999D-E48C-4ED8-8FAC-BB3A3721302A}">
    <text>£3.49 Laminating Pouches + £12.10 Email + 772.50 totalling Bank Payment of £787.99 on 02/12/25.</text>
  </threadedComment>
  <threadedComment ref="O4" dT="2026-02-02T15:19:41.65" personId="{4A2A4441-067B-4294-B1DF-CC355F66F201}" id="{206E64C1-8114-4B15-AC6E-3B89EAFEF5EE}">
    <text>£784.50 paid on 07/01/26, by bank transfer comprising Clerk’s wages of £772.40 and £12.10 for email costs.</text>
  </threadedComment>
  <threadedComment ref="P4" dT="2026-03-03T14:54:03.76" personId="{4A2A4441-067B-4294-B1DF-CC355F66F201}" id="{ED94AE98-11BC-4CE1-B63C-758C9F367CE5}">
    <text>Bank Transfer of £784.30, comprising £772.20 wages+12.10 expenses.</text>
  </threadedComment>
  <threadedComment ref="Q4" dT="2026-03-06T06:31:29.38" personId="{4A2A4441-067B-4294-B1DF-CC355F66F201}" id="{CCA05F64-F3B0-4F5E-8265-D47BBCD81A60}">
    <text>Bank Transfer to Clerk on 03/03/26 of £784.50 comprising £772.20 for wages etc and £12.10 for Email expenses.</text>
  </threadedComment>
  <threadedComment ref="F6" dT="2025-11-23T16:34:37.30" personId="{4A2A4441-067B-4294-B1DF-CC355F66F201}" id="{00C4D59C-5512-41BE-A552-17D801A9DA32}">
    <text>09/05/25  Bank Payment to HMRC for Sheila’s stuff.</text>
  </threadedComment>
  <threadedComment ref="I6" dT="2025-11-23T15:45:57.13" personId="{4A2A4441-067B-4294-B1DF-CC355F66F201}" id="{441DBB32-0A9B-4A9D-8AB8-A79C804D14D4}">
    <text>Bank Payment £744.73 for Employer’s PAYE NI on 09/07/25.</text>
  </threadedComment>
  <threadedComment ref="L6" dT="2025-11-23T16:53:44.54" personId="{4A2A4441-067B-4294-B1DF-CC355F66F201}" id="{A45AF742-C6C5-4668-A042-13B9234B0E10}">
    <text>Bank Payment to HMRC for Employers NI for Clerk for 3 months, paid on 08/10/25.</text>
  </threadedComment>
  <threadedComment ref="O6" dT="2026-02-02T15:27:56.23" personId="{4A2A4441-067B-4294-B1DF-CC355F66F201}" id="{CBEC0CCD-A43E-469E-89E7-1C798E3E5E91}">
    <text>Bank Transfer of £775.44 paid on 07/01/26 for Clerk’s NI and Income Tax.</text>
  </threadedComment>
  <threadedComment ref="G8" dT="2025-11-23T14:57:33.25" personId="{4A2A4441-067B-4294-B1DF-CC355F66F201}" id="{C593126D-3A80-469C-83B5-8DCC6BD54AA1}">
    <text>Paid from Bank £95.59 for printer cartridges to Simon Hedges who bought them for Sheila.  No VAT Claimable. Paid on 15/05/25.</text>
  </threadedComment>
  <threadedComment ref="J8" dT="2025-11-23T14:57:33.25" personId="{4A2A4441-067B-4294-B1DF-CC355F66F201}" id="{2FD99456-4E9B-4758-883F-7BAD5D31AA92}">
    <text>Paid from Bank £95.59 for printer cartridges to Simon Hedges who bought them for Sheila.  No VAT Claimable. Paid on 06/08/25.</text>
  </threadedComment>
  <threadedComment ref="J9" dT="2025-11-23T15:06:00.97" personId="{4A2A4441-067B-4294-B1DF-CC355F66F201}" id="{F7A73C0C-A5B8-4686-9E6F-3D2EDAA7A2EC}">
    <text>Bank Paid £814.07 in total for Clerk’s wages (£803.08), Sim Card £0.99, Top Up £10.00).</text>
  </threadedComment>
  <threadedComment ref="N10" dT="2025-12-20T17:27:10.01" personId="{4A2A4441-067B-4294-B1DF-CC355F66F201}" id="{F6DE3F53-5A78-4D42-A01E-BC15BBF9372E}">
    <text>£3.49 Laminating Pouches + £12.10 Email _772.50 totalling Bank Payment of £787.99 on 02/12/25.</text>
  </threadedComment>
  <threadedComment ref="I11" dT="2025-11-23T15:55:53.21" personId="{4A2A4441-067B-4294-B1DF-CC355F66F201}" id="{56610607-99FF-43C7-83D4-1EBCA08B6ECE}">
    <text>Payment by bank of £789.68 comprising £753.12 Pay, and mail (May £12.36, June £12.10, July, £12.10) £36.56.  This is the point at which we switch from paying in arrears to paying in advance.</text>
  </threadedComment>
  <threadedComment ref="K11" dT="2025-11-23T11:45:00.07" personId="{4A2A4441-067B-4294-B1DF-CC355F66F201}" id="{628CA375-CEC4-4E54-90FF-6D5D907F7EC6}">
    <text xml:space="preserve">Bank Payment of £877.59, consisting of £839.48 for salary and backpay, plus £26.00 for allowances (totalling £865.48), and £12.10 for email. </text>
  </threadedComment>
  <threadedComment ref="M11" dT="2025-11-23T10:31:04.16" personId="{4A2A4441-067B-4294-B1DF-CC355F66F201}" id="{D39F88F5-B353-4C1D-BEBD-C4683ECE1C8E}">
    <text>Bank Payment 06/11/25, £784.5, consisting of £772.40 for Salary and Allowances and £12.10 for Clerk's email.</text>
  </threadedComment>
  <threadedComment ref="N11" dT="2025-12-20T17:30:09.95" personId="{4A2A4441-067B-4294-B1DF-CC355F66F201}" id="{06796FDC-4C3E-4D61-83F2-7D59C7EF384C}">
    <text>£3.49 Laminating Pouches + £12.10 Email _772.50 totalling Bank Payment of £787.99 on 02/12/25.</text>
  </threadedComment>
  <threadedComment ref="O11" dT="2026-02-02T15:19:52.05" personId="{4A2A4441-067B-4294-B1DF-CC355F66F201}" id="{4602D148-E646-417F-9D93-6E3E029DC936}">
    <text>£784.50 paid on 07/01/26, by bank transfer comprising Clerk’s wages of £772.40 and £12.10 for email costs.</text>
  </threadedComment>
  <threadedComment ref="P11" dT="2026-03-03T14:54:35.12" personId="{4A2A4441-067B-4294-B1DF-CC355F66F201}" id="{87AAD782-F8E9-43B7-9266-91E220F7C198}">
    <text>Bank Transfer of £784.30, comprising £772.20 wages+12.10 expenses.</text>
  </threadedComment>
  <threadedComment ref="F19" dT="2025-12-01T11:12:35.60" personId="{4A2A4441-067B-4294-B1DF-CC355F66F201}" id="{94D74BDF-E383-44D6-8EA2-CFF2C7B58F19}">
    <text>Bank Payment on 09/04/25 for Unity Trust ongoing fees.</text>
  </threadedComment>
  <threadedComment ref="G19" dT="2025-11-23T16:11:27.37" personId="{4A2A4441-067B-4294-B1DF-CC355F66F201}" id="{6CF992B2-AC48-4E2D-B536-5611FBC762C8}">
    <text>Direct Debit to Unity Trust Bank for £6.00 fees on 31/05/25.</text>
  </threadedComment>
  <threadedComment ref="H19" dT="2025-11-23T16:11:27.37" personId="{4A2A4441-067B-4294-B1DF-CC355F66F201}" id="{ED7EB8A9-B5F7-407B-8E4D-2EE855F74D52}">
    <text>Direct Debit to Unity Trust Bank for £6.00 fees on 30/06/25.</text>
  </threadedComment>
  <threadedComment ref="I19" dT="2025-11-23T16:00:50.38" personId="{4A2A4441-067B-4294-B1DF-CC355F66F201}" id="{66C5F4D8-4F61-408B-AA1A-7F8325B13F33}">
    <text>Direct Debit of Bank Fees £6.00 on 31/07/25</text>
  </threadedComment>
  <threadedComment ref="J19" dT="2025-11-23T14:47:48.70" personId="{4A2A4441-067B-4294-B1DF-CC355F66F201}" id="{59A937E4-D853-4344-8796-F9C12558069B}">
    <text>£6 paid by Direct Debit to Microsoft on 31/08/25.</text>
  </threadedComment>
  <threadedComment ref="K19" dT="2025-11-23T14:47:48.70" personId="{4A2A4441-067B-4294-B1DF-CC355F66F201}" id="{6C10F03D-E00E-4DF2-BA99-08D0C550A279}">
    <text>£6 paid by Direct Debit to Microsoft on 30/09/25.</text>
  </threadedComment>
  <threadedComment ref="L19" dT="2025-11-23T10:39:52.00" personId="{4A2A4441-067B-4294-B1DF-CC355F66F201}" id="{787EE7B1-9C4F-4980-843E-038430CEB5F1}">
    <text>Bank Payment £6.00 to Unity Trust  on 24/10/25.</text>
  </threadedComment>
  <threadedComment ref="O19" dT="2026-02-02T15:14:40.42" personId="{4A2A4441-067B-4294-B1DF-CC355F66F201}" id="{04095540-AF4E-47AB-B6CF-6CB7DCBDBA60}">
    <text>£6 Service Charge taken on 31/01/26.</text>
  </threadedComment>
  <threadedComment ref="P19" dT="2026-03-03T14:57:35.32" personId="{4A2A4441-067B-4294-B1DF-CC355F66F201}" id="{A3927DDF-8692-4FB6-BF18-FC40C00455E4}">
    <text>Fees taken on £28/02/26.</text>
  </threadedComment>
  <threadedComment ref="Q20" dT="2025-12-01T13:15:39.07" personId="{4A2A4441-067B-4294-B1DF-CC355F66F201}" id="{B500BE07-6B83-4D0C-BA12-0D22FDE60638}">
    <text>There was £600 in here as a payment to Unity Trust to setup the account.  This was an error:  the payment was simply a transfer from our own Natwest Account to our own Unity Trust account, not an actual payment.</text>
  </threadedComment>
  <threadedComment ref="B23" dT="2025-01-09T20:05:04.73" personId="{4A2A4441-067B-4294-B1DF-CC355F66F201}" id="{7272170C-C14C-4717-8D56-DF8CF600F839}">
    <text>SLCC - £120, ICO £40</text>
  </threadedComment>
  <threadedComment ref="H23" dT="2025-11-23T16:10:00.92" personId="{4A2A4441-067B-4294-B1DF-CC355F66F201}" id="{BEF799FA-094A-4017-B777-62FA4FA4F98C}">
    <text>Direct Debit of £47.00 for Information Commissioner on 26/05/25.</text>
  </threadedComment>
  <threadedComment ref="Q25" dT="2026-03-06T06:24:09.81" personId="{4A2A4441-067B-4294-B1DF-CC355F66F201}" id="{1A237073-5874-4941-A69A-E80EB4A7F9F0}">
    <text>Bank Transfer paid on 03/03/26 to Clerk.</text>
  </threadedComment>
  <threadedComment ref="B28" dT="2025-01-09T20:05:04.73" personId="{4A2A4441-067B-4294-B1DF-CC355F66F201}" id="{E3061556-8165-4849-8C0D-5EBE2F720D6C}">
    <text>SLCC - £120, ICO £40</text>
  </threadedComment>
  <threadedComment ref="N29" dT="2025-12-20T17:47:29.99" personId="{4A2A4441-067B-4294-B1DF-CC355F66F201}" id="{7CAE02FF-395C-443B-B343-CEC3B4D8BA80}">
    <text>£339.96 Paid by Bank Transfer on 02/12/25.</text>
  </threadedComment>
  <threadedComment ref="U31" dT="2025-11-29T23:28:00.25" personId="{4A2A4441-067B-4294-B1DF-CC355F66F201}" id="{62EA47CA-9C1C-45EA-A8BD-9A9BC004C01C}">
    <text>£500 Plus 4% inflation exc VAT.</text>
  </threadedComment>
  <threadedComment ref="G32" dT="2025-11-23T16:23:25.26" personId="{4A2A4441-067B-4294-B1DF-CC355F66F201}" id="{95E1A324-49E9-4F06-AF00-D9CC8CB4DF34}">
    <text>Bank Payment to Zurich insurance for SPC public liability insurance £819.95 on 14/05/25.</text>
  </threadedComment>
  <threadedComment ref="I34" dT="2025-11-23T15:59:50.60" personId="{4A2A4441-067B-4294-B1DF-CC355F66F201}" id="{73449735-254A-47F5-A07A-C66EC196F890}">
    <text>First 3 direct monthsworth of Direct Debit Payments £90 on 24/07/25.</text>
  </threadedComment>
  <threadedComment ref="J34" dT="2025-11-23T15:17:27.42" personId="{4A2A4441-067B-4294-B1DF-CC355F66F201}" id="{E9774820-C271-41B1-AFC1-C1912AC75639}">
    <text>Paid from Bank £30.00 to Westcott on 26/08/25.</text>
  </threadedComment>
  <threadedComment ref="K34" dT="2025-11-23T14:46:55.49" personId="{4A2A4441-067B-4294-B1DF-CC355F66F201}" id="{768A0084-A859-4CA3-9E30-DBBCA74D1543}">
    <text>£30 paid by direct debit to Westcott on 03/09/25.</text>
  </threadedComment>
  <threadedComment ref="L34" dT="2025-11-23T10:41:10.94" personId="{4A2A4441-067B-4294-B1DF-CC355F66F201}" id="{A495B231-528E-441D-B351-F813D9EF0ABB}">
    <text>Bank Payment £30.00 to Westcott, paid 24/10/25.</text>
  </threadedComment>
  <threadedComment ref="M34" dT="2025-12-20T17:21:08.53" personId="{4A2A4441-067B-4294-B1DF-CC355F66F201}" id="{23B8682F-C6F5-4138-9113-580E8C575307}">
    <text>£30 paid by Bank Transfer on 24/11/25</text>
  </threadedComment>
  <threadedComment ref="N34" dT="2025-12-20T17:46:37.93" personId="{4A2A4441-067B-4294-B1DF-CC355F66F201}" id="{5DD0B908-6048-4E0D-A5D9-949FB0424282}">
    <text xml:space="preserve">£300.00 Paid by Bank Transfer on 02/12/25 as back payment for 2024/25.  Remaining £30 paid by Direct Debit on 24/12/25..
</text>
  </threadedComment>
  <threadedComment ref="O34" dT="2026-02-02T15:13:44.80" personId="{4A2A4441-067B-4294-B1DF-CC355F66F201}" id="{5D778EDB-F254-4ED7-A0D2-8EB8329E1396}">
    <text>£30 paid to Westcotts by Direct Debit, 26/01/26.</text>
  </threadedComment>
  <threadedComment ref="P34" dT="2026-03-03T14:55:59.27" personId="{4A2A4441-067B-4294-B1DF-CC355F66F201}" id="{454538D6-153A-4B9E-A407-023039C6AAE1}">
    <text>Bank Transfer on 24/02/26 £30.00.</text>
  </threadedComment>
  <threadedComment ref="G37" dT="2025-11-23T16:20:36.64" personId="{4A2A4441-067B-4294-B1DF-CC355F66F201}" id="{55E25549-5A9E-4BE7-AE79-B6BD118B174D}">
    <text>Bank Payment to Penny Clapham for Internal Audit £103.00 on 14/05/25.</text>
  </threadedComment>
  <threadedComment ref="J39" dT="2025-11-23T14:58:59.72" personId="{4A2A4441-067B-4294-B1DF-CC355F66F201}" id="{D37A9583-9C13-4869-867D-9B62FB76BC0E}">
    <text xml:space="preserve">Bank Payment to PKF (Auditing) of £378.00 on 06/08/25.  </text>
  </threadedComment>
  <threadedComment ref="L40" dT="2025-11-25T21:14:03.88" personId="{4A2A4441-067B-4294-B1DF-CC355F66F201}" id="{8CBD4A3B-B73D-4DDD-831E-4CEAA8F4F186}">
    <text>Confirmed by Clerk at November meeting that we can reclaim VAT on this item.</text>
  </threadedComment>
  <threadedComment ref="G49" dT="2025-11-23T16:16:56.06" personId="{4A2A4441-067B-4294-B1DF-CC355F66F201}" id="{16A45811-2293-4B18-B81E-E7BD7FB2E30A}">
    <text>Bank Payment to Rhino Play for Repairs to Children’s Play Area £6,805.20 on 14/05/25.</text>
  </threadedComment>
  <threadedComment ref="J50" dT="2025-11-23T15:02:35.46" personId="{4A2A4441-067B-4294-B1DF-CC355F66F201}" id="{3BC43076-92E8-430A-806B-884E9A54CCA6}">
    <text>Bank Payment £781.68 to Evolution Skate Parks on 06/08/25.</text>
  </threadedComment>
  <threadedComment ref="I51" dT="2025-11-23T15:50:37.17" personId="{4A2A4441-067B-4294-B1DF-CC355F66F201}" id="{C6117A31-329D-4465-8B3A-F7EB0E367796}">
    <text>Bank payment of £13,968.00 to White Rose Tarmacadam for Skate Park resurfacing on 09/07/25.</text>
  </threadedComment>
  <threadedComment ref="P53" dT="2026-03-03T14:48:29.94" personId="{4A2A4441-067B-4294-B1DF-CC355F66F201}" id="{E6D6A04E-1318-4490-A951-4BF6D46E3CEF}">
    <text>Bank Transfer to Simon Hedges on 05/02/26.</text>
  </threadedComment>
  <threadedComment ref="M57" dT="2025-11-23T10:20:59.11" personId="{4A2A4441-067B-4294-B1DF-CC355F66F201}" id="{20707D40-B228-47EF-A254-C40A49D60405}">
    <text>Bank Payment to Silverton Community Hall £184.00 on 06/11/25.  This consisted of £140 basic, plus extra bookings for additional meeting on 25/11/25 plus training meeting.</text>
  </threadedComment>
  <threadedComment ref="I58" dT="2025-11-23T15:57:24.14" personId="{4A2A4441-067B-4294-B1DF-CC355F66F201}" id="{E4736C21-05E0-404A-BBBD-2622A078DEEF}">
    <text>Bank Payment of £25.00 for Silverton Room 4 U for meeting of Broad Oak Working Group.</text>
  </threadedComment>
  <threadedComment ref="J63" dT="2025-11-23T15:07:50.59" personId="{4A2A4441-067B-4294-B1DF-CC355F66F201}" id="{00703291-2B9B-42BB-8AFF-896430B0B242}">
    <text>Bank Payment £980.40 to Smith of Derby for Clock annual maintenance paid on 06/08/24.</text>
  </threadedComment>
  <threadedComment ref="O66" dT="2026-02-02T15:15:46.07" personId="{4A2A4441-067B-4294-B1DF-CC355F66F201}" id="{38347154-5CB2-49ED-BD55-B74EF3C44F82}">
    <text>£250 paid by cheque on 15/01/26 for lawnmowing.</text>
  </threadedComment>
  <threadedComment ref="N68" dT="2025-12-20T17:55:13.55" personId="{4A2A4441-067B-4294-B1DF-CC355F66F201}" id="{CD074D90-E65D-4B35-A0FF-F00B8CE1A3F7}">
    <text>£25.00 Paid by Bank Transfer on 02/12/25.</text>
  </threadedComment>
  <threadedComment ref="N70" dT="2025-12-20T17:45:24.56" personId="{4A2A4441-067B-4294-B1DF-CC355F66F201}" id="{BC03618E-02FE-4721-86AC-5E7CE9A7B2D8}">
    <text xml:space="preserve">£250.00 Paid by Bank Transfer on 02/12/25 to AD Isaac
</text>
  </threadedComment>
  <threadedComment ref="I72" dT="2025-11-23T15:58:31.35" personId="{4A2A4441-067B-4294-B1DF-CC355F66F201}" id="{F5DC99BA-D00A-4297-9B74-5F91C3E9BA2B}">
    <text>Bank Payment donation of £500.00 to Silverton Street Market on 09/07/25.</text>
  </threadedComment>
  <threadedComment ref="O74" dT="2026-02-02T15:37:36.78" personId="{4A2A4441-067B-4294-B1DF-CC355F66F201}" id="{E906F1EE-B837-460B-9D4B-623D3A5B7B01}">
    <text>£260 payment to St Mary’s Church on 07/01/26 by bank  transfer as grant for Silverleigh magazine cutting.</text>
  </threadedComment>
  <threadedComment ref="G79" dT="2025-11-23T16:18:37.01" personId="{4A2A4441-067B-4294-B1DF-CC355F66F201}" id="{F3576D3E-743E-47E3-92CB-DA2B792F7291}">
    <text>Bank Payment of £17.64 for DAAT floodlights on 14/05/24.</text>
  </threadedComment>
  <threadedComment ref="J79" dT="2025-11-23T15:19:07.17" personId="{4A2A4441-067B-4294-B1DF-CC355F66F201}" id="{53792F91-7212-4047-97E8-7676ABB3DDED}">
    <text>Paid from Bank to Eon £54.23 on 06/08/25.</text>
  </threadedComment>
  <threadedComment ref="O79" dT="2026-02-02T15:39:13.81" personId="{4A2A4441-067B-4294-B1DF-CC355F66F201}" id="{9CAFBCB5-D619-4F7E-9EC1-6E9A387C319A}">
    <text>Payment of £2.74 and £21.37 to e-ON for Landing Lights on Big rec for Air Ambulance by bank transfer on 07/01/26.</text>
  </threadedComment>
  <threadedComment ref="Q79" dT="2026-03-06T06:29:52.57" personId="{4A2A4441-067B-4294-B1DF-CC355F66F201}" id="{0335CB0A-C5CF-4C04-A344-69F299926314}">
    <text>Bank Transfer to e-on for Landing Floodlights electric of £23.62 and £17.42.</text>
  </threadedComment>
  <threadedComment ref="F85" dT="2025-12-01T11:04:58.10" personId="{4A2A4441-067B-4294-B1DF-CC355F66F201}" id="{235EE9D5-243C-4EFD-A49A-EE9B6A2E3BF9}">
    <text>09/05/25 Bank Payment of Handyman routine charges of £625,</text>
  </threadedComment>
  <threadedComment ref="G85" dT="2025-11-23T16:14:19.79" personId="{4A2A4441-067B-4294-B1DF-CC355F66F201}" id="{D4FE0B3C-97D8-4DAA-BDD9-D51E590BCD3E}">
    <text>Bank Payment of £625.00 to Denis Marsden Handyman for routine work on 14/05/25.</text>
  </threadedComment>
  <threadedComment ref="H85" dT="2025-11-23T16:07:03.80" personId="{4A2A4441-067B-4294-B1DF-CC355F66F201}" id="{69C5BBAE-B66A-4381-B221-1C08483DDE81}">
    <text>Bank Payment for Denis Marsden, Handyman of £625 on 04/06/25.</text>
  </threadedComment>
  <threadedComment ref="I85" dT="2025-11-23T15:49:01.68" personId="{4A2A4441-067B-4294-B1DF-CC355F66F201}" id="{20873D43-A829-46BC-B1DF-C9035DF4ACF4}">
    <text>Bank payment £650 to Denis Marsden for routine Handyman work on 09/07/25.  Payments this month and onwards increase from £625 to £650 as he now keeps down weeds on the pond site and the church road bank.</text>
  </threadedComment>
  <threadedComment ref="J85" dT="2025-11-23T15:09:11.31" personId="{4A2A4441-067B-4294-B1DF-CC355F66F201}" id="{A7C28066-4750-432A-BFEA-F9242B1EA171}">
    <text>Bank payment £650.00 to Denis Marsden for routine handyman work on 06/08/25.</text>
  </threadedComment>
  <threadedComment ref="K85" dT="2025-11-23T11:38:29.36" personId="{4A2A4441-067B-4294-B1DF-CC355F66F201}" id="{9FF028E8-A141-4A8D-995A-2138DF5595F0}">
    <text>Bank Payment of £675.00 consisting of £650 routine work, plus £25.00 ad hoc to replace damaged slab in Big Rec, paid on 03/09/25.</text>
  </threadedComment>
  <threadedComment ref="L85" dT="2025-11-23T11:20:28.40" personId="{4A2A4441-067B-4294-B1DF-CC355F66F201}" id="{663584FD-4AFF-4F0B-AB21-B2A0E779EF7E}">
    <text>£650.00 paid to Denis Marsden on 08/10/25.</text>
  </threadedComment>
  <threadedComment ref="M85" dT="2025-11-23T10:22:30.25" personId="{4A2A4441-067B-4294-B1DF-CC355F66F201}" id="{F5C7E0FF-F50D-4443-8DD6-05430351946C}">
    <text>Bank Payment £650.00 to Denis Marsden on 06/11/25.</text>
  </threadedComment>
  <threadedComment ref="N85" dT="2025-12-20T17:44:14.09" personId="{4A2A4441-067B-4294-B1DF-CC355F66F201}" id="{29EFA8FC-181A-4B95-B690-04D64ED4D15E}">
    <text>£650 paid by bank transfer on 02/12/25</text>
  </threadedComment>
  <threadedComment ref="O85" dT="2026-02-02T15:40:40.15" personId="{4A2A4441-067B-4294-B1DF-CC355F66F201}" id="{921F85D6-E392-4D4F-8B6D-34AC3C043031}">
    <text>£650 bank transfer to Denis Marsden handyman on 07/01/26.</text>
  </threadedComment>
  <threadedComment ref="P85" dT="2026-03-03T14:51:16.38" personId="{4A2A4441-067B-4294-B1DF-CC355F66F201}" id="{B0FD06B5-102F-4E78-85A9-4D4315A05D33}">
    <text>Bank Transfer to Denis Marsden 05/02/26</text>
  </threadedComment>
  <threadedComment ref="Q85" dT="2026-03-06T06:25:21.94" personId="{4A2A4441-067B-4294-B1DF-CC355F66F201}" id="{FDD8960E-6F17-4A10-8EF6-A8FD1434824D}">
    <text>Bank Transfer to Denis Marsden on 03/03/26.</text>
  </threadedComment>
  <threadedComment ref="F87" dT="2025-12-01T10:59:44.69" personId="{4A2A4441-067B-4294-B1DF-CC355F66F201}" id="{1E7534D4-D136-4FDA-98AC-CFBE573334F4}">
    <text>Church Road Weeds clearance, 09/04/25</text>
  </threadedComment>
  <threadedComment ref="J87" dT="2025-11-23T14:55:33.20" personId="{4A2A4441-067B-4294-B1DF-CC355F66F201}" id="{5D8EB534-DA53-4A6C-AC5D-171ABDEF1CA2}">
    <text>Paid £300 from Bank to Denis for Seats on little Rec on 06/08/25.</text>
  </threadedComment>
  <threadedComment ref="K87" dT="2025-11-23T11:39:57.62" personId="{4A2A4441-067B-4294-B1DF-CC355F66F201}" id="{D07EBC0D-8BEB-4481-A09D-2530DF04D2C4}">
    <text>Bank Payment of £675.00 consisting of £650 routine work, plus £25.00 ad hoc to replace damaged slab in Big Rec, paid on 03/09/25.</text>
  </threadedComment>
  <threadedComment ref="M88" dT="2025-11-23T10:33:11.11" personId="{4A2A4441-067B-4294-B1DF-CC355F66F201}" id="{2F6ADFB1-3503-46C3-B8C3-183411F5CA18}">
    <text>Bank Payment 06/11/25 to Stephen Land for clearing the Cobbled Path.</text>
  </threadedComment>
  <threadedComment ref="G92" dT="2025-11-23T16:21:52.19" personId="{4A2A4441-067B-4294-B1DF-CC355F66F201}" id="{F76FA19E-9AFD-40B6-8778-443A4104942F}">
    <text>Bank Payment to Parsons for April and May cutting £2,016.44 on 14/05/25.</text>
  </threadedComment>
  <threadedComment ref="I92" dT="2025-11-23T15:48:02.03" personId="{4A2A4441-067B-4294-B1DF-CC355F66F201}" id="{3DF568D1-F576-4F92-8077-3BD63FFCC21F}">
    <text>2 Bank Payments for June and July Invoices £1,337.93+£1,196.40 totalling £2543.33, both paid on 09/07/25.</text>
  </threadedComment>
  <threadedComment ref="J92" dT="2025-11-23T15:03:37.08" personId="{4A2A4441-067B-4294-B1DF-CC355F66F201}" id="{48D16155-94A0-47B8-91C6-DB9F6B91E964}">
    <text>Bank Paid £944.81 to Parsons on 06/08/25.</text>
  </threadedComment>
  <threadedComment ref="L92" dT="2025-11-23T10:36:27.80" personId="{4A2A4441-067B-4294-B1DF-CC355F66F201}" id="{027D93CF-97CB-404D-995E-A2BBDE5DC9F2}">
    <text>Bank Payment £1196.40 on 8th October.</text>
  </threadedComment>
  <threadedComment ref="M92" dT="2025-11-23T10:23:07.30" personId="{4A2A4441-067B-4294-B1DF-CC355F66F201}" id="{B7C07B2A-9FD9-4F11-99EF-405146A0018A}">
    <text>Bank Payment £944.81 on 25/11/25 to Parsons.</text>
  </threadedComment>
  <threadedComment ref="O95" dT="2026-02-02T15:42:13.63" personId="{4A2A4441-067B-4294-B1DF-CC355F66F201}" id="{0B25AA02-31CF-49B0-A305-142318660F6E}">
    <text>£1562 bank transfer to Church for Grass Cutting on 07/01/26.</text>
  </threadedComment>
  <threadedComment ref="J97" dT="2025-11-23T15:10:01.52" personId="{4A2A4441-067B-4294-B1DF-CC355F66F201}" id="{2A82585C-CE9F-4743-944B-FDD46FAA28DD}">
    <text>Bank Payment of £1,324.80 for safety inspection on 06/08/25.</text>
  </threadedComment>
  <threadedComment ref="G104" dT="2025-11-23T16:15:29.33" personId="{4A2A4441-067B-4294-B1DF-CC355F66F201}" id="{23115A06-7810-4ADE-9080-919E1D2D205A}">
    <text>Bank Payment of £3,250.00 to Silverton Evangelical Church for Youth Worker £3,250.00 on 14/05/25.</text>
  </threadedComment>
  <threadedComment ref="P104" dT="2026-03-03T14:47:01.88" personId="{4A2A4441-067B-4294-B1DF-CC355F66F201}" id="{7623A5AD-450C-43C7-BED1-7E34B3A1C7E4}">
    <text>Direct Credit Payment made on 05/02/26.  This was earlier than expected, so is brought forward from 26/27.</text>
  </threadedComment>
  <threadedComment ref="O105" dT="2026-02-02T15:45:10.73" personId="{4A2A4441-067B-4294-B1DF-CC355F66F201}" id="{621D0CB0-F34D-4C24-A09D-4FA352B03F5D}">
    <text>£65.94 bank transfer to refund Simon Hedges for the cost of a St George’s Flag.</text>
  </threadedComment>
  <threadedComment ref="B109" dT="2025-01-09T23:49:11.09" personId="{4A2A4441-067B-4294-B1DF-CC355F66F201}" id="{FC24B23F-53C0-4459-830C-64D0EDA1042B}">
    <text>Lime Avenue Regeneration, other Tree Planting  and Maintenance</text>
  </threadedComment>
  <threadedComment ref="G109" dT="2025-11-23T16:27:14.81" personId="{4A2A4441-067B-4294-B1DF-CC355F66F201}" id="{35A7A2EB-84E0-48AF-837B-1DB01B19E048}">
    <text>Bank Payment of £924.00 to Hi Line for Berry Tree Risk Assessment (£504.00) and Big Rec Tree Assessment (£420) on 14/05/25.</text>
  </threadedComment>
  <threadedComment ref="G110" dT="2025-11-23T16:27:34.19" personId="{4A2A4441-067B-4294-B1DF-CC355F66F201}" id="{DEE74B11-9694-4A8D-987B-2CBB038DED43}">
    <text xml:space="preserve">Bank Payment of £924.00 to Hi Line for Berry Tree Risk Assessment (£504.00) and Big Rec Tree Assessment (£420) on 14/05/25.
</text>
  </threadedComment>
  <threadedComment ref="Z112" dT="2026-02-03T13:39:05.93" personId="{4A2A4441-067B-4294-B1DF-CC355F66F201}" id="{8478872D-74A9-4AA8-AA52-14FAA1F1C042}">
    <text>Teign Trees.</text>
  </threadedComment>
  <threadedComment ref="B117" dT="2025-01-09T16:01:52.52" personId="{4A2A4441-067B-4294-B1DF-CC355F66F201}" id="{B97C368E-355E-47C9-9DC5-99951F95BA2B}">
    <text>Fire Station, Bus Shelters, Gazebo, Tennis Hut, War Memorial, Additional Traffic Signs and Lighting, Flagpole (via RBL), Equipment other than on Big Rec.  To be reviewed in 25/26 - consider splitting into other funds.</text>
  </threadedComment>
  <threadedComment ref="G117" dT="2025-11-23T16:25:19.92" personId="{4A2A4441-067B-4294-B1DF-CC355F66F201}" id="{2C9BE515-744E-4339-810B-542BBF1E4DCE}">
    <text>Bank Payment of £200.00 to Paul Gawen for Bus Shelter roof leak fix on 14/05/25.</text>
  </threadedComment>
  <threadedComment ref="N119" dT="2025-12-20T17:48:50.02" personId="{4A2A4441-067B-4294-B1DF-CC355F66F201}" id="{94FA033B-4A1B-4D1A-9A36-2C7DEB301853}">
    <text xml:space="preserve">£78.75 Paid by Bank Transfer on 02/12/25.  VAT not claimable as no reference number on receipt.
</text>
  </threadedComment>
  <threadedComment ref="Q119" dT="2026-03-06T06:27:09.80" personId="{4A2A4441-067B-4294-B1DF-CC355F66F201}" id="{5AC34041-F68B-461D-8B37-F797FA82F76F}">
    <text>Bank Transfer to Denis Marsden on 03/03/26 to pay for installation of pond site bench.</text>
  </threadedComment>
  <threadedComment ref="L121" dT="2025-11-23T11:22:28.77" personId="{4A2A4441-067B-4294-B1DF-CC355F66F201}" id="{00D6BFD8-D3A7-44F0-BAEF-9FE8599444ED}">
    <text xml:space="preserve">Total £922.78 Bank Payment. consisting of Pay £746.40+£26.00 Allowance = £772.40; in same payment was £2.50 for Card, and defibrillator for £119.99.  This totals £894.89, leaving a missing item of £27.89 to be accounted for.
</text>
  </threadedComment>
  <threadedComment ref="D141" dT="2025-12-01T13:29:15.29" personId="{4A2A4441-067B-4294-B1DF-CC355F66F201}" id="{6C9B3B24-3C9B-44E8-AF9C-D32E911F8557}">
    <text>£5511 resulting from revised Bank Account reconciliation for end March 2025, undertaken at end November 2025.</text>
  </threadedComment>
  <threadedComment ref="F145" dT="2025-11-23T10:42:45.93" personId="{4A2A4441-067B-4294-B1DF-CC355F66F201}" id="{88CAE213-1F97-4881-AE24-FC17FA0BCE3F}">
    <text xml:space="preserve">Payment of Precept on 09/04/25 was £26688.51 - this has the DALC sub pre-subtracted from it	
otherwise the payment would have been 27380.  The difference is 
691.49	
</text>
  </threadedComment>
  <threadedComment ref="L145" dT="2025-11-23T10:42:45.93" personId="{4A2A4441-067B-4294-B1DF-CC355F66F201}" id="{094C89B8-C3FE-4F4B-9EFA-D98069561E9D}">
    <text>Received 06/10/25</text>
  </threadedComment>
  <threadedComment ref="E146" dT="2025-12-01T13:16:57.68" personId="{4A2A4441-067B-4294-B1DF-CC355F66F201}" id="{B9DA9FB0-4D6D-4B87-A0F1-409010E3E20E}">
    <text>£34627 was the end March balance in the Unity Trust bank.  By this time the Natwest Account had been closed and all money transferred.</text>
  </threadedComment>
  <threadedComment ref="N146" dT="2026-01-04T12:27:13.54" personId="{4A2A4441-067B-4294-B1DF-CC355F66F201}" id="{75C2A2EF-A45E-4351-A6A9-BE413C71D160}">
    <text>£38402 from Bank Statement for end December.</text>
  </threadedComment>
  <threadedComment ref="E147" dT="2025-12-01T13:20:14.56" personId="{4A2A4441-067B-4294-B1DF-CC355F66F201}" id="{9369FDCC-A370-42BA-87BB-B20BBFC90110}">
    <text>Forecast money available for 2025/26:  £34627 in account from end March, plus net precept payment of £26689 for April, and precept payment of £27380 for October, totalling £88,696.  This is much higher than the originally estimated budget of £83185.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6.xm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7.xml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935F-BC64-4151-8F50-B90DE8528569}">
  <sheetPr>
    <tabColor rgb="FFFFFF00"/>
    <pageSetUpPr fitToPage="1"/>
  </sheetPr>
  <dimension ref="A1:AB219"/>
  <sheetViews>
    <sheetView showGridLines="0" tabSelected="1" zoomScale="94" zoomScaleNormal="90" workbookViewId="0">
      <pane xSplit="2" ySplit="2" topLeftCell="C135" activePane="bottomRight" state="frozenSplit"/>
      <selection pane="topRight" activeCell="J1" sqref="J1"/>
      <selection pane="bottomLeft" activeCell="A6" sqref="A6"/>
      <selection pane="bottomRight" activeCell="H135" sqref="H135"/>
    </sheetView>
  </sheetViews>
  <sheetFormatPr defaultRowHeight="13.2" outlineLevelRow="1" outlineLevelCol="1" x14ac:dyDescent="0.25"/>
  <cols>
    <col min="1" max="1" width="4.44140625" customWidth="1"/>
    <col min="2" max="2" width="40.21875" customWidth="1"/>
    <col min="3" max="3" width="8.5546875" customWidth="1"/>
    <col min="4" max="4" width="10.109375" style="210" customWidth="1"/>
    <col min="5" max="5" width="11.33203125" style="210" customWidth="1"/>
    <col min="6" max="7" width="8.6640625" style="210" customWidth="1"/>
    <col min="8" max="8" width="9" style="210" customWidth="1"/>
    <col min="9" max="9" width="8.6640625" style="210" customWidth="1"/>
    <col min="10" max="10" width="9" style="210" customWidth="1"/>
    <col min="11" max="11" width="9.33203125" style="210" customWidth="1" collapsed="1"/>
    <col min="12" max="12" width="8.44140625" style="210" customWidth="1"/>
    <col min="13" max="13" width="8.77734375" style="210" customWidth="1"/>
    <col min="14" max="14" width="10" style="210" customWidth="1"/>
    <col min="15" max="16" width="9.6640625" style="210" customWidth="1"/>
    <col min="17" max="17" width="8.88671875" style="12"/>
    <col min="18" max="18" width="8.33203125" customWidth="1"/>
    <col min="19" max="19" width="3.5546875" customWidth="1"/>
    <col min="20" max="21" width="8.88671875" hidden="1" customWidth="1" outlineLevel="1"/>
    <col min="22" max="22" width="8.21875" hidden="1" customWidth="1" outlineLevel="1"/>
    <col min="23" max="23" width="10.5546875" bestFit="1" customWidth="1" collapsed="1"/>
  </cols>
  <sheetData>
    <row r="1" spans="1:26" ht="3.6" customHeight="1" x14ac:dyDescent="0.25">
      <c r="D1" s="210" t="s">
        <v>306</v>
      </c>
      <c r="E1" s="210" t="s">
        <v>306</v>
      </c>
      <c r="F1" s="210" t="s">
        <v>306</v>
      </c>
    </row>
    <row r="2" spans="1:26" s="49" customFormat="1" ht="37.799999999999997" customHeight="1" x14ac:dyDescent="0.25">
      <c r="A2" s="316" t="s">
        <v>290</v>
      </c>
      <c r="B2" s="317"/>
      <c r="C2" s="69" t="s">
        <v>234</v>
      </c>
      <c r="D2" s="309" t="s">
        <v>235</v>
      </c>
      <c r="E2" s="309" t="s">
        <v>236</v>
      </c>
      <c r="F2" s="309" t="s">
        <v>246</v>
      </c>
      <c r="G2" s="379" t="s">
        <v>251</v>
      </c>
      <c r="H2" s="379" t="s">
        <v>250</v>
      </c>
      <c r="I2" s="379" t="s">
        <v>252</v>
      </c>
      <c r="J2" s="379" t="s">
        <v>253</v>
      </c>
      <c r="K2" s="379" t="s">
        <v>254</v>
      </c>
      <c r="L2" s="379" t="s">
        <v>255</v>
      </c>
      <c r="M2" s="379" t="s">
        <v>256</v>
      </c>
      <c r="N2" s="379" t="s">
        <v>257</v>
      </c>
      <c r="O2" s="379" t="s">
        <v>258</v>
      </c>
      <c r="P2" s="379" t="s">
        <v>482</v>
      </c>
      <c r="Q2" s="267" t="s">
        <v>126</v>
      </c>
      <c r="R2" s="385" t="s">
        <v>480</v>
      </c>
      <c r="T2" s="49" t="s">
        <v>351</v>
      </c>
      <c r="U2" s="361" t="s">
        <v>461</v>
      </c>
      <c r="V2" s="330"/>
    </row>
    <row r="3" spans="1:26" ht="13.8" x14ac:dyDescent="0.25">
      <c r="A3" s="132" t="s">
        <v>308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>
        <v>103</v>
      </c>
      <c r="Z3" s="15"/>
    </row>
    <row r="4" spans="1:26" ht="13.8" x14ac:dyDescent="0.25">
      <c r="A4" s="257" t="s">
        <v>442</v>
      </c>
      <c r="B4" s="83" t="s">
        <v>286</v>
      </c>
      <c r="C4">
        <f>+'25-26 Spend 26-27 budget'!V5</f>
        <v>9582</v>
      </c>
      <c r="D4" s="306">
        <v>772.4</v>
      </c>
      <c r="E4" s="306">
        <v>762.6</v>
      </c>
      <c r="F4" s="402">
        <v>762.6</v>
      </c>
      <c r="G4" s="401">
        <v>762.6</v>
      </c>
      <c r="H4" s="353">
        <f t="shared" ref="H4:N4" si="0">9582/12</f>
        <v>798.5</v>
      </c>
      <c r="I4" s="353">
        <f t="shared" si="0"/>
        <v>798.5</v>
      </c>
      <c r="J4" s="353">
        <f t="shared" si="0"/>
        <v>798.5</v>
      </c>
      <c r="K4" s="353">
        <f t="shared" si="0"/>
        <v>798.5</v>
      </c>
      <c r="L4" s="353">
        <f t="shared" si="0"/>
        <v>798.5</v>
      </c>
      <c r="M4" s="353">
        <f t="shared" si="0"/>
        <v>798.5</v>
      </c>
      <c r="N4" s="353">
        <f t="shared" si="0"/>
        <v>798.5</v>
      </c>
      <c r="O4" s="382">
        <f>Q4-SUM(D4:N4)</f>
        <v>932.29999999999927</v>
      </c>
      <c r="P4" s="393"/>
      <c r="Q4" s="381">
        <v>9582</v>
      </c>
      <c r="R4" s="243">
        <f t="shared" ref="R4:R36" si="1">+C4-Q4</f>
        <v>0</v>
      </c>
      <c r="U4" s="363">
        <f t="shared" ref="U4:U17" si="2">+ROUND(Q4*inflation2728budget%,0)</f>
        <v>9869</v>
      </c>
      <c r="X4" s="243"/>
      <c r="Y4" s="243"/>
    </row>
    <row r="5" spans="1:26" ht="13.8" x14ac:dyDescent="0.25">
      <c r="A5" s="257" t="s">
        <v>442</v>
      </c>
      <c r="B5" s="83" t="s">
        <v>141</v>
      </c>
      <c r="C5">
        <f>+'25-26 Spend 26-27 budget'!V7</f>
        <v>3088</v>
      </c>
      <c r="D5" s="306">
        <v>775.64</v>
      </c>
      <c r="E5" s="375"/>
      <c r="F5" s="375"/>
      <c r="G5" s="401">
        <v>804.84</v>
      </c>
      <c r="H5" s="375"/>
      <c r="I5" s="375"/>
      <c r="J5" s="353">
        <v>850</v>
      </c>
      <c r="K5" s="375"/>
      <c r="L5" s="375"/>
      <c r="M5" s="353">
        <v>850</v>
      </c>
      <c r="N5" s="375"/>
      <c r="O5" s="375"/>
      <c r="P5" s="394"/>
      <c r="Q5" s="268">
        <f>SUM(D5:P5)</f>
        <v>3280.48</v>
      </c>
      <c r="R5" s="243">
        <f t="shared" si="1"/>
        <v>-192.48000000000002</v>
      </c>
      <c r="U5" s="363">
        <f t="shared" si="2"/>
        <v>3379</v>
      </c>
      <c r="X5" s="243"/>
      <c r="Y5" s="243"/>
    </row>
    <row r="6" spans="1:26" ht="13.8" x14ac:dyDescent="0.25">
      <c r="A6" s="257" t="s">
        <v>442</v>
      </c>
      <c r="B6" s="83" t="s">
        <v>473</v>
      </c>
      <c r="C6">
        <v>175</v>
      </c>
      <c r="D6" s="353"/>
      <c r="E6" s="375"/>
      <c r="F6" s="375"/>
      <c r="G6" s="375"/>
      <c r="H6" s="375">
        <v>175</v>
      </c>
      <c r="I6" s="375"/>
      <c r="J6" s="353"/>
      <c r="K6" s="375"/>
      <c r="L6" s="375"/>
      <c r="M6" s="353"/>
      <c r="N6" s="375"/>
      <c r="O6" s="375"/>
      <c r="P6" s="394"/>
      <c r="Q6" s="268">
        <f t="shared" ref="Q6:Q20" si="3">SUM(D6:P6)</f>
        <v>175</v>
      </c>
      <c r="R6" s="243">
        <f t="shared" si="1"/>
        <v>0</v>
      </c>
      <c r="U6" s="363">
        <f t="shared" si="2"/>
        <v>180</v>
      </c>
      <c r="V6" s="243"/>
    </row>
    <row r="7" spans="1:26" ht="13.8" x14ac:dyDescent="0.25">
      <c r="A7" s="257" t="s">
        <v>442</v>
      </c>
      <c r="B7" s="83" t="s">
        <v>441</v>
      </c>
      <c r="C7">
        <v>86</v>
      </c>
      <c r="D7" s="306">
        <v>7</v>
      </c>
      <c r="E7" s="211">
        <v>7</v>
      </c>
      <c r="F7" s="211">
        <v>7</v>
      </c>
      <c r="G7" s="401">
        <v>7</v>
      </c>
      <c r="H7" s="375">
        <v>7</v>
      </c>
      <c r="I7" s="375">
        <v>7</v>
      </c>
      <c r="J7" s="353">
        <v>7</v>
      </c>
      <c r="K7" s="375">
        <v>7</v>
      </c>
      <c r="L7" s="375">
        <v>7</v>
      </c>
      <c r="M7" s="353">
        <v>7</v>
      </c>
      <c r="N7" s="375">
        <v>8</v>
      </c>
      <c r="O7" s="375">
        <v>8</v>
      </c>
      <c r="P7" s="394"/>
      <c r="Q7" s="268">
        <f t="shared" si="3"/>
        <v>86</v>
      </c>
      <c r="R7" s="243">
        <f t="shared" si="1"/>
        <v>0</v>
      </c>
      <c r="U7" s="363">
        <f>+ROUND(Q7*inflation2728budget%,0)</f>
        <v>89</v>
      </c>
      <c r="V7" s="243"/>
    </row>
    <row r="8" spans="1:26" ht="13.8" x14ac:dyDescent="0.25">
      <c r="A8" s="257" t="s">
        <v>442</v>
      </c>
      <c r="B8" s="83" t="s">
        <v>472</v>
      </c>
      <c r="C8">
        <v>0</v>
      </c>
      <c r="D8" s="306">
        <v>50</v>
      </c>
      <c r="E8" s="375"/>
      <c r="F8" s="211">
        <v>3</v>
      </c>
      <c r="G8" s="401">
        <v>3</v>
      </c>
      <c r="H8" s="375">
        <v>3</v>
      </c>
      <c r="I8" s="375">
        <v>3</v>
      </c>
      <c r="J8" s="353">
        <v>3</v>
      </c>
      <c r="K8" s="375">
        <v>3</v>
      </c>
      <c r="L8" s="375">
        <v>3</v>
      </c>
      <c r="M8" s="353">
        <v>3</v>
      </c>
      <c r="N8" s="375">
        <v>3.3</v>
      </c>
      <c r="O8" s="375">
        <v>3.3</v>
      </c>
      <c r="P8" s="394"/>
      <c r="Q8" s="268">
        <f t="shared" si="3"/>
        <v>80.599999999999994</v>
      </c>
      <c r="R8" s="243">
        <f t="shared" si="1"/>
        <v>-80.599999999999994</v>
      </c>
      <c r="U8" s="363"/>
      <c r="V8" s="243"/>
    </row>
    <row r="9" spans="1:26" ht="13.8" x14ac:dyDescent="0.25">
      <c r="A9" s="354" t="s">
        <v>371</v>
      </c>
      <c r="B9" s="83" t="s">
        <v>434</v>
      </c>
      <c r="C9">
        <f>159</f>
        <v>159</v>
      </c>
      <c r="D9" s="306">
        <f>12.1+12.1</f>
        <v>24.2</v>
      </c>
      <c r="E9" s="306">
        <v>12.1</v>
      </c>
      <c r="F9" s="353"/>
      <c r="G9" s="401">
        <v>12.1</v>
      </c>
      <c r="H9" s="353">
        <f>12.1+12.1</f>
        <v>24.2</v>
      </c>
      <c r="I9" s="353">
        <v>12.1</v>
      </c>
      <c r="J9" s="353">
        <f t="shared" ref="J9:O9" si="4">+I9*1.05</f>
        <v>12.705</v>
      </c>
      <c r="K9" s="353">
        <f t="shared" si="4"/>
        <v>13.340250000000001</v>
      </c>
      <c r="L9" s="353">
        <f t="shared" si="4"/>
        <v>14.007262500000001</v>
      </c>
      <c r="M9" s="353">
        <f t="shared" si="4"/>
        <v>14.707625625000002</v>
      </c>
      <c r="N9" s="353">
        <f t="shared" si="4"/>
        <v>15.443006906250003</v>
      </c>
      <c r="O9" s="353">
        <f t="shared" si="4"/>
        <v>16.215157251562506</v>
      </c>
      <c r="P9" s="393"/>
      <c r="Q9" s="268">
        <f t="shared" si="3"/>
        <v>171.11830228281249</v>
      </c>
      <c r="R9" s="243">
        <f t="shared" si="1"/>
        <v>-12.118302282812493</v>
      </c>
      <c r="U9" s="363">
        <f t="shared" si="2"/>
        <v>176</v>
      </c>
      <c r="V9" s="243"/>
    </row>
    <row r="10" spans="1:26" ht="13.8" x14ac:dyDescent="0.25">
      <c r="A10" s="354" t="s">
        <v>371</v>
      </c>
      <c r="B10" s="83" t="s">
        <v>435</v>
      </c>
      <c r="C10">
        <v>500</v>
      </c>
      <c r="D10" s="306">
        <v>353.33</v>
      </c>
      <c r="E10" s="375"/>
      <c r="F10" s="375"/>
      <c r="G10" s="353"/>
      <c r="H10" s="375"/>
      <c r="I10" s="375"/>
      <c r="J10" s="353"/>
      <c r="K10" s="375"/>
      <c r="L10" s="375">
        <v>353.33</v>
      </c>
      <c r="M10" s="353"/>
      <c r="N10" s="375"/>
      <c r="O10" s="375"/>
      <c r="P10" s="394"/>
      <c r="Q10" s="268">
        <f t="shared" si="3"/>
        <v>706.66</v>
      </c>
      <c r="R10" s="243">
        <f t="shared" si="1"/>
        <v>-206.65999999999997</v>
      </c>
      <c r="U10" s="363">
        <f t="shared" si="2"/>
        <v>728</v>
      </c>
      <c r="V10" s="243"/>
    </row>
    <row r="11" spans="1:26" ht="13.8" x14ac:dyDescent="0.25">
      <c r="A11" s="354" t="s">
        <v>371</v>
      </c>
      <c r="B11" s="83" t="s">
        <v>436</v>
      </c>
      <c r="C11">
        <v>25</v>
      </c>
      <c r="D11" s="353"/>
      <c r="E11" s="375"/>
      <c r="F11" s="375"/>
      <c r="G11" s="375"/>
      <c r="H11" s="375">
        <v>25</v>
      </c>
      <c r="I11" s="375"/>
      <c r="J11" s="353"/>
      <c r="K11" s="375"/>
      <c r="L11" s="375"/>
      <c r="M11" s="353"/>
      <c r="N11" s="375"/>
      <c r="O11" s="375"/>
      <c r="P11" s="394"/>
      <c r="Q11" s="268">
        <f t="shared" si="3"/>
        <v>25</v>
      </c>
      <c r="R11" s="243">
        <f t="shared" si="1"/>
        <v>0</v>
      </c>
      <c r="U11" s="363">
        <f t="shared" si="2"/>
        <v>26</v>
      </c>
      <c r="V11" s="243"/>
    </row>
    <row r="12" spans="1:26" ht="13.8" x14ac:dyDescent="0.25">
      <c r="A12" s="354" t="s">
        <v>371</v>
      </c>
      <c r="B12" s="83" t="s">
        <v>439</v>
      </c>
      <c r="C12">
        <v>50</v>
      </c>
      <c r="D12" s="353"/>
      <c r="E12" s="375"/>
      <c r="F12" s="375"/>
      <c r="G12" s="375"/>
      <c r="H12" s="375">
        <v>25</v>
      </c>
      <c r="I12" s="375"/>
      <c r="J12" s="353"/>
      <c r="K12" s="375">
        <v>25</v>
      </c>
      <c r="L12" s="375"/>
      <c r="M12" s="353"/>
      <c r="N12" s="375"/>
      <c r="O12" s="375"/>
      <c r="P12" s="394"/>
      <c r="Q12" s="268">
        <f t="shared" si="3"/>
        <v>50</v>
      </c>
      <c r="R12" s="243">
        <f t="shared" si="1"/>
        <v>0</v>
      </c>
      <c r="U12" s="363">
        <f t="shared" si="2"/>
        <v>52</v>
      </c>
      <c r="V12" s="243"/>
    </row>
    <row r="13" spans="1:26" ht="13.8" x14ac:dyDescent="0.25">
      <c r="A13" s="354" t="s">
        <v>371</v>
      </c>
      <c r="B13" s="83" t="s">
        <v>477</v>
      </c>
      <c r="C13" s="243">
        <v>86</v>
      </c>
      <c r="D13" s="306">
        <v>95.99</v>
      </c>
      <c r="E13" s="375"/>
      <c r="F13" s="375"/>
      <c r="G13" s="353"/>
      <c r="H13" s="375"/>
      <c r="I13" s="375"/>
      <c r="J13" s="353"/>
      <c r="K13" s="375"/>
      <c r="L13" s="375"/>
      <c r="M13" s="353"/>
      <c r="N13" s="375"/>
      <c r="O13" s="375"/>
      <c r="P13" s="394"/>
      <c r="Q13" s="268">
        <f t="shared" si="3"/>
        <v>95.99</v>
      </c>
      <c r="R13" s="243">
        <f t="shared" si="1"/>
        <v>-9.9899999999999949</v>
      </c>
      <c r="U13" s="363">
        <f t="shared" si="2"/>
        <v>99</v>
      </c>
      <c r="V13" s="243"/>
    </row>
    <row r="14" spans="1:26" ht="13.8" x14ac:dyDescent="0.25">
      <c r="A14" s="354" t="s">
        <v>371</v>
      </c>
      <c r="B14" s="83" t="s">
        <v>476</v>
      </c>
      <c r="C14">
        <v>97</v>
      </c>
      <c r="D14" s="353"/>
      <c r="E14" s="375"/>
      <c r="F14" s="375"/>
      <c r="G14" s="353"/>
      <c r="H14" s="375"/>
      <c r="I14" s="375"/>
      <c r="J14" s="353">
        <v>100</v>
      </c>
      <c r="K14" s="375"/>
      <c r="L14" s="375"/>
      <c r="M14" s="353"/>
      <c r="N14" s="375"/>
      <c r="O14" s="375"/>
      <c r="P14" s="394"/>
      <c r="Q14" s="268">
        <f t="shared" si="3"/>
        <v>100</v>
      </c>
      <c r="R14" s="243">
        <f t="shared" si="1"/>
        <v>-3</v>
      </c>
      <c r="U14" s="363">
        <f t="shared" si="2"/>
        <v>103</v>
      </c>
      <c r="V14" s="243"/>
    </row>
    <row r="15" spans="1:26" ht="13.8" x14ac:dyDescent="0.25">
      <c r="A15" s="354" t="s">
        <v>371</v>
      </c>
      <c r="B15" s="83" t="s">
        <v>475</v>
      </c>
      <c r="C15">
        <v>0</v>
      </c>
      <c r="D15" s="353"/>
      <c r="E15" s="375"/>
      <c r="F15" s="375"/>
      <c r="G15" s="353"/>
      <c r="H15" s="375"/>
      <c r="I15" s="375"/>
      <c r="J15" s="353"/>
      <c r="K15" s="375"/>
      <c r="L15" s="375"/>
      <c r="M15" s="353"/>
      <c r="N15" s="375"/>
      <c r="O15" s="375"/>
      <c r="P15" s="394"/>
      <c r="Q15" s="268">
        <f t="shared" si="3"/>
        <v>0</v>
      </c>
      <c r="R15" s="243">
        <f t="shared" si="1"/>
        <v>0</v>
      </c>
      <c r="U15" s="363">
        <f t="shared" si="2"/>
        <v>0</v>
      </c>
      <c r="V15" s="243"/>
    </row>
    <row r="16" spans="1:26" ht="13.8" x14ac:dyDescent="0.25">
      <c r="A16" s="354" t="s">
        <v>371</v>
      </c>
      <c r="B16" s="83" t="s">
        <v>474</v>
      </c>
      <c r="C16">
        <v>0</v>
      </c>
      <c r="D16" s="306">
        <v>15.4</v>
      </c>
      <c r="E16" s="375"/>
      <c r="F16" s="375"/>
      <c r="G16" s="353"/>
      <c r="H16" s="375"/>
      <c r="I16" s="375"/>
      <c r="J16" s="353"/>
      <c r="K16" s="375"/>
      <c r="L16" s="375"/>
      <c r="M16" s="353"/>
      <c r="N16" s="375"/>
      <c r="O16" s="375"/>
      <c r="P16" s="394"/>
      <c r="Q16" s="268">
        <f t="shared" si="3"/>
        <v>15.4</v>
      </c>
      <c r="R16" s="243">
        <f t="shared" si="1"/>
        <v>-15.4</v>
      </c>
      <c r="U16" s="363"/>
      <c r="V16" s="243"/>
    </row>
    <row r="17" spans="1:23" ht="13.8" x14ac:dyDescent="0.25">
      <c r="A17" s="354" t="s">
        <v>371</v>
      </c>
      <c r="B17" s="83" t="s">
        <v>437</v>
      </c>
      <c r="C17">
        <v>43</v>
      </c>
      <c r="D17" s="353"/>
      <c r="E17" s="375"/>
      <c r="F17" s="375"/>
      <c r="G17" s="353"/>
      <c r="H17" s="353">
        <v>20</v>
      </c>
      <c r="I17" s="375"/>
      <c r="J17" s="353"/>
      <c r="K17" s="375">
        <v>23</v>
      </c>
      <c r="L17" s="375"/>
      <c r="M17" s="353"/>
      <c r="N17" s="375"/>
      <c r="O17" s="375"/>
      <c r="P17" s="394"/>
      <c r="Q17" s="268">
        <f t="shared" si="3"/>
        <v>43</v>
      </c>
      <c r="R17" s="243">
        <f t="shared" si="1"/>
        <v>0</v>
      </c>
      <c r="U17" s="363">
        <f t="shared" si="2"/>
        <v>44</v>
      </c>
      <c r="V17" s="243"/>
    </row>
    <row r="18" spans="1:23" ht="13.8" x14ac:dyDescent="0.25">
      <c r="A18" s="354" t="s">
        <v>371</v>
      </c>
      <c r="B18" s="83" t="s">
        <v>489</v>
      </c>
      <c r="C18">
        <v>0</v>
      </c>
      <c r="D18" s="353"/>
      <c r="E18" s="375"/>
      <c r="F18" s="375"/>
      <c r="G18" s="353"/>
      <c r="H18" s="353"/>
      <c r="I18" s="375"/>
      <c r="J18" s="353"/>
      <c r="K18" s="375"/>
      <c r="L18" s="375"/>
      <c r="M18" s="353"/>
      <c r="N18" s="375"/>
      <c r="O18" s="375"/>
      <c r="P18" s="394"/>
      <c r="Q18" s="268">
        <f t="shared" si="3"/>
        <v>0</v>
      </c>
      <c r="R18" s="243">
        <f t="shared" ref="R18" si="5">+C18-Q18</f>
        <v>0</v>
      </c>
      <c r="U18" s="363"/>
      <c r="V18" s="243"/>
    </row>
    <row r="19" spans="1:23" ht="13.8" x14ac:dyDescent="0.25">
      <c r="A19" s="354" t="s">
        <v>371</v>
      </c>
      <c r="B19" s="83" t="s">
        <v>440</v>
      </c>
      <c r="C19">
        <v>100</v>
      </c>
      <c r="D19" s="353"/>
      <c r="E19" s="375"/>
      <c r="F19" s="375"/>
      <c r="G19" s="353"/>
      <c r="H19" s="375"/>
      <c r="I19" s="375"/>
      <c r="J19" s="353"/>
      <c r="K19" s="353"/>
      <c r="L19" s="375"/>
      <c r="M19" s="353"/>
      <c r="N19" s="375"/>
      <c r="O19" s="375"/>
      <c r="P19" s="394"/>
      <c r="Q19" s="268">
        <f t="shared" si="3"/>
        <v>0</v>
      </c>
      <c r="R19" s="243">
        <f t="shared" si="1"/>
        <v>100</v>
      </c>
      <c r="U19" s="362">
        <v>200</v>
      </c>
      <c r="V19" s="243"/>
    </row>
    <row r="20" spans="1:23" ht="13.8" x14ac:dyDescent="0.25">
      <c r="A20" s="296" t="s">
        <v>371</v>
      </c>
      <c r="B20" s="83" t="s">
        <v>438</v>
      </c>
      <c r="C20">
        <f>ROUND(SUM(C9:C19)/6*-1,2)</f>
        <v>-176.67</v>
      </c>
      <c r="D20" s="353"/>
      <c r="E20" s="375"/>
      <c r="F20" s="375"/>
      <c r="G20" s="353"/>
      <c r="H20" s="375"/>
      <c r="I20" s="375"/>
      <c r="J20" s="353"/>
      <c r="K20" s="375"/>
      <c r="L20" s="375"/>
      <c r="M20" s="353"/>
      <c r="N20" s="375"/>
      <c r="O20" s="287">
        <f>((SUM(D9:O19)/6)*-1)-SUM(D20:N20)</f>
        <v>-201.19471704713544</v>
      </c>
      <c r="P20" s="394"/>
      <c r="Q20" s="268">
        <f t="shared" si="3"/>
        <v>-201.19471704713544</v>
      </c>
      <c r="R20" s="243">
        <f t="shared" si="1"/>
        <v>24.524717047135454</v>
      </c>
      <c r="U20" s="363">
        <f>+ROUND(Q20*inflation2728budget%,0)</f>
        <v>-207</v>
      </c>
      <c r="V20" s="243"/>
    </row>
    <row r="21" spans="1:23" ht="13.8" x14ac:dyDescent="0.25">
      <c r="A21" s="246"/>
      <c r="B21" s="391" t="s">
        <v>433</v>
      </c>
      <c r="C21" s="318">
        <f t="shared" ref="C21:P21" si="6">SUM(C4:C20)</f>
        <v>13814.33</v>
      </c>
      <c r="D21" s="231">
        <f t="shared" si="6"/>
        <v>2093.96</v>
      </c>
      <c r="E21" s="231">
        <f t="shared" si="6"/>
        <v>781.7</v>
      </c>
      <c r="F21" s="231">
        <f t="shared" si="6"/>
        <v>772.6</v>
      </c>
      <c r="G21" s="247">
        <f t="shared" si="6"/>
        <v>1589.54</v>
      </c>
      <c r="H21" s="247">
        <f t="shared" si="6"/>
        <v>1077.7</v>
      </c>
      <c r="I21" s="247">
        <f t="shared" si="6"/>
        <v>820.6</v>
      </c>
      <c r="J21" s="247">
        <f t="shared" si="6"/>
        <v>1771.2049999999999</v>
      </c>
      <c r="K21" s="247">
        <f t="shared" si="6"/>
        <v>869.84024999999997</v>
      </c>
      <c r="L21" s="247">
        <f t="shared" si="6"/>
        <v>1175.8372625</v>
      </c>
      <c r="M21" s="247">
        <f t="shared" si="6"/>
        <v>1673.207625625</v>
      </c>
      <c r="N21" s="247">
        <f t="shared" si="6"/>
        <v>825.24300690625</v>
      </c>
      <c r="O21" s="247">
        <f t="shared" si="6"/>
        <v>758.62044020442625</v>
      </c>
      <c r="P21" s="247">
        <f t="shared" si="6"/>
        <v>0</v>
      </c>
      <c r="Q21" s="314">
        <f>SUM(D21:P21)</f>
        <v>14210.053585235675</v>
      </c>
      <c r="R21" s="387">
        <f t="shared" si="1"/>
        <v>-395.72358523567527</v>
      </c>
      <c r="S21" s="29"/>
      <c r="U21" s="373">
        <f>SUM(U4:U20)</f>
        <v>14738</v>
      </c>
      <c r="V21" s="210" t="e">
        <f>+U21/#REF!%</f>
        <v>#REF!</v>
      </c>
    </row>
    <row r="22" spans="1:23" ht="13.8" x14ac:dyDescent="0.25">
      <c r="A22" s="259" t="s">
        <v>281</v>
      </c>
      <c r="B22" s="83" t="s">
        <v>443</v>
      </c>
      <c r="C22">
        <v>50</v>
      </c>
      <c r="D22" s="375"/>
      <c r="E22" s="375"/>
      <c r="F22" s="211">
        <v>47</v>
      </c>
      <c r="G22" s="375"/>
      <c r="H22" s="375"/>
      <c r="I22" s="375"/>
      <c r="J22" s="375"/>
      <c r="K22" s="375"/>
      <c r="L22" s="375"/>
      <c r="M22" s="375"/>
      <c r="N22" s="375"/>
      <c r="O22" s="375"/>
      <c r="P22" s="394"/>
      <c r="Q22" s="268">
        <f>SUM(D22:P22)</f>
        <v>47</v>
      </c>
      <c r="R22" s="243">
        <f t="shared" si="1"/>
        <v>3</v>
      </c>
      <c r="U22" s="363">
        <f>+ROUND(Q22*inflation2728budget%,0)</f>
        <v>48</v>
      </c>
      <c r="W22" s="400">
        <v>46176</v>
      </c>
    </row>
    <row r="23" spans="1:23" ht="13.8" x14ac:dyDescent="0.25">
      <c r="A23" s="260" t="s">
        <v>442</v>
      </c>
      <c r="B23" s="83" t="s">
        <v>444</v>
      </c>
      <c r="C23">
        <v>168</v>
      </c>
      <c r="D23" s="211">
        <v>703.44</v>
      </c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94"/>
      <c r="Q23" s="268">
        <f t="shared" ref="Q23:Q26" si="7">SUM(D23:P23)</f>
        <v>703.44</v>
      </c>
      <c r="R23" s="243">
        <f t="shared" si="1"/>
        <v>-535.44000000000005</v>
      </c>
      <c r="S23" s="15"/>
      <c r="U23" s="363">
        <f>+ROUND(Q23*inflation2728budget%,0)</f>
        <v>725</v>
      </c>
      <c r="W23" s="400">
        <f>+W22+33</f>
        <v>46209</v>
      </c>
    </row>
    <row r="24" spans="1:23" ht="13.8" x14ac:dyDescent="0.25">
      <c r="A24" s="260" t="s">
        <v>442</v>
      </c>
      <c r="B24" s="83" t="s">
        <v>430</v>
      </c>
      <c r="C24">
        <v>163</v>
      </c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>
        <v>164</v>
      </c>
      <c r="P24" s="394"/>
      <c r="Q24" s="268">
        <f t="shared" si="7"/>
        <v>164</v>
      </c>
      <c r="R24" s="243">
        <f t="shared" si="1"/>
        <v>-1</v>
      </c>
      <c r="S24" s="15"/>
      <c r="U24" s="363">
        <f>+ROUND(Q24*inflation2728budget%,0)</f>
        <v>169</v>
      </c>
    </row>
    <row r="25" spans="1:23" ht="13.8" x14ac:dyDescent="0.25">
      <c r="A25" s="260" t="s">
        <v>442</v>
      </c>
      <c r="B25" s="83" t="s">
        <v>278</v>
      </c>
      <c r="C25">
        <v>0</v>
      </c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94"/>
      <c r="Q25" s="268">
        <f t="shared" si="7"/>
        <v>0</v>
      </c>
      <c r="R25" s="243">
        <f t="shared" si="1"/>
        <v>0</v>
      </c>
      <c r="U25" s="363">
        <f>+ROUND(Q25*inflation2728budget%,0)</f>
        <v>0</v>
      </c>
    </row>
    <row r="26" spans="1:23" ht="13.8" x14ac:dyDescent="0.25">
      <c r="A26" s="260" t="s">
        <v>442</v>
      </c>
      <c r="B26" s="83" t="s">
        <v>280</v>
      </c>
      <c r="C26">
        <v>0</v>
      </c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94"/>
      <c r="Q26" s="268">
        <f t="shared" si="7"/>
        <v>0</v>
      </c>
      <c r="R26" s="243">
        <f t="shared" si="1"/>
        <v>0</v>
      </c>
      <c r="U26" s="363">
        <f>+ROUND(Q26*inflation2728budget%,0)</f>
        <v>0</v>
      </c>
    </row>
    <row r="27" spans="1:23" ht="13.8" x14ac:dyDescent="0.25">
      <c r="A27" s="29"/>
      <c r="B27" s="391" t="s">
        <v>330</v>
      </c>
      <c r="C27" s="318">
        <f>SUM(C22:C26)</f>
        <v>381</v>
      </c>
      <c r="D27" s="231">
        <f t="shared" ref="D27:P27" si="8">SUM(D22:D26)</f>
        <v>703.44</v>
      </c>
      <c r="E27" s="231">
        <f t="shared" si="8"/>
        <v>0</v>
      </c>
      <c r="F27" s="231">
        <f t="shared" si="8"/>
        <v>47</v>
      </c>
      <c r="G27" s="247">
        <f t="shared" si="8"/>
        <v>0</v>
      </c>
      <c r="H27" s="247">
        <f t="shared" si="8"/>
        <v>0</v>
      </c>
      <c r="I27" s="247">
        <f t="shared" si="8"/>
        <v>0</v>
      </c>
      <c r="J27" s="247">
        <f t="shared" si="8"/>
        <v>0</v>
      </c>
      <c r="K27" s="247">
        <f t="shared" si="8"/>
        <v>0</v>
      </c>
      <c r="L27" s="247">
        <f t="shared" si="8"/>
        <v>0</v>
      </c>
      <c r="M27" s="247">
        <f t="shared" si="8"/>
        <v>0</v>
      </c>
      <c r="N27" s="247">
        <f t="shared" si="8"/>
        <v>0</v>
      </c>
      <c r="O27" s="247">
        <f t="shared" si="8"/>
        <v>164</v>
      </c>
      <c r="P27" s="247">
        <f t="shared" si="8"/>
        <v>0</v>
      </c>
      <c r="Q27" s="314">
        <f t="shared" ref="Q27:Q34" si="9">SUM(D27:P27)</f>
        <v>914.44</v>
      </c>
      <c r="R27" s="387">
        <f t="shared" si="1"/>
        <v>-533.44000000000005</v>
      </c>
      <c r="S27" s="29"/>
      <c r="U27" s="373">
        <f>SUM(U22:U26)</f>
        <v>942</v>
      </c>
      <c r="V27" s="210" t="e">
        <f>+U27/#REF!%</f>
        <v>#REF!</v>
      </c>
    </row>
    <row r="28" spans="1:23" ht="13.8" x14ac:dyDescent="0.25">
      <c r="A28" s="354" t="s">
        <v>371</v>
      </c>
      <c r="B28" s="83" t="s">
        <v>149</v>
      </c>
      <c r="C28">
        <v>624</v>
      </c>
      <c r="D28" s="375"/>
      <c r="E28" s="375"/>
      <c r="F28" s="375"/>
      <c r="G28" s="375"/>
      <c r="H28" s="375"/>
      <c r="I28" s="375"/>
      <c r="J28" s="375"/>
      <c r="K28" s="375"/>
      <c r="L28" s="375">
        <v>624</v>
      </c>
      <c r="M28" s="375"/>
      <c r="N28" s="375"/>
      <c r="O28" s="375"/>
      <c r="P28" s="394"/>
      <c r="Q28" s="268">
        <f t="shared" si="9"/>
        <v>624</v>
      </c>
      <c r="R28" s="243">
        <f t="shared" si="1"/>
        <v>0</v>
      </c>
      <c r="U28" s="363">
        <f>+ROUND(Q28*inflation2728budget%,0)</f>
        <v>643</v>
      </c>
    </row>
    <row r="29" spans="1:23" ht="13.8" x14ac:dyDescent="0.25">
      <c r="A29" s="296" t="s">
        <v>371</v>
      </c>
      <c r="B29" s="83" t="s">
        <v>317</v>
      </c>
      <c r="C29" s="243">
        <f>+C28/6*-1</f>
        <v>-104</v>
      </c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287">
        <f>((SUM(D28:O28)/6)*-1)-SUM(D29:N29)</f>
        <v>-104</v>
      </c>
      <c r="P29" s="394"/>
      <c r="Q29" s="268">
        <f t="shared" si="9"/>
        <v>-104</v>
      </c>
      <c r="R29" s="243">
        <f t="shared" si="1"/>
        <v>0</v>
      </c>
      <c r="U29" s="363">
        <f>+ROUND(Q29*inflation2728budget%,0)</f>
        <v>-107</v>
      </c>
    </row>
    <row r="30" spans="1:23" ht="13.8" x14ac:dyDescent="0.25">
      <c r="A30" s="29"/>
      <c r="B30" s="391" t="s">
        <v>331</v>
      </c>
      <c r="C30" s="318">
        <f>SUM(C28:C29)</f>
        <v>520</v>
      </c>
      <c r="D30" s="231">
        <f t="shared" ref="D30:K30" si="10">SUM(D28:D29)</f>
        <v>0</v>
      </c>
      <c r="E30" s="231">
        <f t="shared" si="10"/>
        <v>0</v>
      </c>
      <c r="F30" s="231">
        <f t="shared" si="10"/>
        <v>0</v>
      </c>
      <c r="G30" s="247">
        <f t="shared" si="10"/>
        <v>0</v>
      </c>
      <c r="H30" s="247">
        <f t="shared" si="10"/>
        <v>0</v>
      </c>
      <c r="I30" s="247">
        <f t="shared" si="10"/>
        <v>0</v>
      </c>
      <c r="J30" s="247">
        <f t="shared" si="10"/>
        <v>0</v>
      </c>
      <c r="K30" s="247">
        <f t="shared" si="10"/>
        <v>0</v>
      </c>
      <c r="L30" s="247">
        <f>SUM(L28:L29)</f>
        <v>624</v>
      </c>
      <c r="M30" s="247">
        <f t="shared" ref="M30:P30" si="11">SUM(M28:M29)</f>
        <v>0</v>
      </c>
      <c r="N30" s="247">
        <f t="shared" si="11"/>
        <v>0</v>
      </c>
      <c r="O30" s="247">
        <f t="shared" si="11"/>
        <v>-104</v>
      </c>
      <c r="P30" s="247">
        <f t="shared" si="11"/>
        <v>0</v>
      </c>
      <c r="Q30" s="314">
        <f t="shared" si="9"/>
        <v>520</v>
      </c>
      <c r="R30" s="387">
        <f t="shared" si="1"/>
        <v>0</v>
      </c>
      <c r="S30" s="29"/>
      <c r="U30" s="373">
        <f>SUM(U28:U29)</f>
        <v>536</v>
      </c>
      <c r="V30" s="210" t="e">
        <f>+U30/#REF!%</f>
        <v>#REF!</v>
      </c>
    </row>
    <row r="31" spans="1:23" ht="13.8" x14ac:dyDescent="0.25">
      <c r="A31" s="259" t="s">
        <v>281</v>
      </c>
      <c r="B31" s="83" t="s">
        <v>144</v>
      </c>
      <c r="C31">
        <v>853</v>
      </c>
      <c r="D31" s="375"/>
      <c r="E31" s="375"/>
      <c r="F31" s="211">
        <v>953.79</v>
      </c>
      <c r="G31" s="375"/>
      <c r="H31" s="375"/>
      <c r="I31" s="375"/>
      <c r="J31" s="375"/>
      <c r="K31" s="375"/>
      <c r="L31" s="375"/>
      <c r="M31" s="375"/>
      <c r="N31" s="375"/>
      <c r="O31" s="375"/>
      <c r="P31" s="394"/>
      <c r="Q31" s="268">
        <f t="shared" si="9"/>
        <v>953.79</v>
      </c>
      <c r="R31" s="243">
        <f t="shared" si="1"/>
        <v>-100.78999999999996</v>
      </c>
      <c r="U31" s="363">
        <f>+ROUND(Q31*inflation2728budget%,0)</f>
        <v>982</v>
      </c>
    </row>
    <row r="32" spans="1:23" ht="13.8" x14ac:dyDescent="0.25">
      <c r="A32" s="29"/>
      <c r="B32" s="391" t="s">
        <v>332</v>
      </c>
      <c r="C32" s="318">
        <f>+'25-26 Spend 26-27 budget'!V33</f>
        <v>853</v>
      </c>
      <c r="D32" s="231">
        <f t="shared" ref="D32:P32" si="12">SUM(D31:D31)</f>
        <v>0</v>
      </c>
      <c r="E32" s="231">
        <f t="shared" si="12"/>
        <v>0</v>
      </c>
      <c r="F32" s="231">
        <f t="shared" si="12"/>
        <v>953.79</v>
      </c>
      <c r="G32" s="247">
        <f t="shared" si="12"/>
        <v>0</v>
      </c>
      <c r="H32" s="247">
        <f t="shared" si="12"/>
        <v>0</v>
      </c>
      <c r="I32" s="247">
        <f t="shared" si="12"/>
        <v>0</v>
      </c>
      <c r="J32" s="247">
        <f t="shared" si="12"/>
        <v>0</v>
      </c>
      <c r="K32" s="247">
        <f t="shared" si="12"/>
        <v>0</v>
      </c>
      <c r="L32" s="247">
        <f t="shared" si="12"/>
        <v>0</v>
      </c>
      <c r="M32" s="247">
        <f t="shared" si="12"/>
        <v>0</v>
      </c>
      <c r="N32" s="247">
        <f t="shared" si="12"/>
        <v>0</v>
      </c>
      <c r="O32" s="247">
        <f t="shared" si="12"/>
        <v>0</v>
      </c>
      <c r="P32" s="247">
        <f t="shared" si="12"/>
        <v>0</v>
      </c>
      <c r="Q32" s="314">
        <f t="shared" si="9"/>
        <v>953.79</v>
      </c>
      <c r="R32" s="387">
        <f t="shared" si="1"/>
        <v>-100.78999999999996</v>
      </c>
      <c r="S32" s="29"/>
      <c r="U32" s="373">
        <f>SUM(U31)</f>
        <v>982</v>
      </c>
      <c r="V32" s="210" t="e">
        <f>+U32/#REF!%</f>
        <v>#REF!</v>
      </c>
    </row>
    <row r="33" spans="1:23" ht="13.8" x14ac:dyDescent="0.25">
      <c r="A33" s="354" t="s">
        <v>371</v>
      </c>
      <c r="B33" s="83" t="s">
        <v>12</v>
      </c>
      <c r="C33">
        <v>374</v>
      </c>
      <c r="D33" s="211">
        <v>30</v>
      </c>
      <c r="E33" s="211">
        <v>36</v>
      </c>
      <c r="F33" s="211">
        <v>36</v>
      </c>
      <c r="G33" s="403">
        <v>36</v>
      </c>
      <c r="H33" s="375">
        <v>36</v>
      </c>
      <c r="I33" s="375">
        <v>36</v>
      </c>
      <c r="J33" s="375">
        <v>36</v>
      </c>
      <c r="K33" s="375">
        <v>36</v>
      </c>
      <c r="L33" s="375">
        <f>+K33</f>
        <v>36</v>
      </c>
      <c r="M33" s="375">
        <v>36</v>
      </c>
      <c r="N33" s="375">
        <v>36</v>
      </c>
      <c r="O33" s="375">
        <v>36</v>
      </c>
      <c r="P33" s="394"/>
      <c r="Q33" s="268">
        <f t="shared" si="9"/>
        <v>426</v>
      </c>
      <c r="R33" s="243">
        <f t="shared" si="1"/>
        <v>-52</v>
      </c>
      <c r="U33" s="363">
        <f>+ROUND(Q33*inflation2728budget%,0)</f>
        <v>439</v>
      </c>
    </row>
    <row r="34" spans="1:23" ht="13.8" x14ac:dyDescent="0.25">
      <c r="A34" s="354" t="s">
        <v>371</v>
      </c>
      <c r="B34" s="83" t="s">
        <v>396</v>
      </c>
      <c r="C34" s="243">
        <v>393</v>
      </c>
      <c r="D34" s="375"/>
      <c r="E34" s="375"/>
      <c r="F34" s="375"/>
      <c r="G34" s="375"/>
      <c r="H34" s="375">
        <f>378*1.04</f>
        <v>393.12</v>
      </c>
      <c r="I34" s="375"/>
      <c r="J34" s="375"/>
      <c r="K34" s="375"/>
      <c r="L34" s="375"/>
      <c r="M34" s="375"/>
      <c r="N34" s="375"/>
      <c r="O34" s="375"/>
      <c r="P34" s="394"/>
      <c r="Q34" s="268">
        <f t="shared" si="9"/>
        <v>393.12</v>
      </c>
      <c r="R34" s="243">
        <f t="shared" si="1"/>
        <v>-0.12000000000000455</v>
      </c>
      <c r="U34" s="363">
        <f>+ROUND(Q34*inflation2728budget%,0)</f>
        <v>405</v>
      </c>
    </row>
    <row r="35" spans="1:23" ht="13.8" x14ac:dyDescent="0.25">
      <c r="A35" s="296" t="s">
        <v>371</v>
      </c>
      <c r="B35" s="83" t="s">
        <v>317</v>
      </c>
      <c r="C35" s="243">
        <v>-127</v>
      </c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287">
        <f>((SUM(Q33:Q34)/6)*-1)-SUM(D35:N35)</f>
        <v>-136.52000000000001</v>
      </c>
      <c r="P35" s="394"/>
      <c r="Q35" s="268">
        <f t="shared" ref="Q35:Q37" si="13">SUM(D35:O35)</f>
        <v>-136.52000000000001</v>
      </c>
      <c r="R35" s="243">
        <f t="shared" si="1"/>
        <v>9.5200000000000102</v>
      </c>
      <c r="U35" s="363">
        <f>+ROUND(Q35*inflation2728budget%,0)</f>
        <v>-141</v>
      </c>
    </row>
    <row r="36" spans="1:23" ht="13.8" x14ac:dyDescent="0.25">
      <c r="A36" s="257" t="s">
        <v>442</v>
      </c>
      <c r="B36" s="83" t="s">
        <v>249</v>
      </c>
      <c r="C36">
        <v>107</v>
      </c>
      <c r="D36" s="375"/>
      <c r="E36" s="211">
        <v>103</v>
      </c>
      <c r="F36" s="375"/>
      <c r="G36" s="375"/>
      <c r="H36" s="375"/>
      <c r="I36" s="375"/>
      <c r="J36" s="375"/>
      <c r="K36" s="375"/>
      <c r="L36" s="375"/>
      <c r="M36" s="375"/>
      <c r="N36" s="375"/>
      <c r="O36" s="375"/>
      <c r="P36" s="394"/>
      <c r="Q36" s="268">
        <f>SUM(D36:P36)</f>
        <v>103</v>
      </c>
      <c r="R36" s="243">
        <f t="shared" si="1"/>
        <v>4</v>
      </c>
      <c r="U36" s="363">
        <f>+ROUND(Q36*inflation2728budget%,0)</f>
        <v>106</v>
      </c>
    </row>
    <row r="37" spans="1:23" ht="13.8" x14ac:dyDescent="0.25">
      <c r="A37" s="29"/>
      <c r="B37" s="391" t="s">
        <v>445</v>
      </c>
      <c r="C37" s="318">
        <f>SUM(C33:C36)</f>
        <v>747</v>
      </c>
      <c r="D37" s="231">
        <f>SUM(D33:D36)</f>
        <v>30</v>
      </c>
      <c r="E37" s="231">
        <f t="shared" ref="E37:P37" si="14">SUM(E33:E36)</f>
        <v>139</v>
      </c>
      <c r="F37" s="231">
        <f t="shared" si="14"/>
        <v>36</v>
      </c>
      <c r="G37" s="247">
        <f t="shared" si="14"/>
        <v>36</v>
      </c>
      <c r="H37" s="247">
        <f t="shared" si="14"/>
        <v>429.12</v>
      </c>
      <c r="I37" s="247">
        <f t="shared" si="14"/>
        <v>36</v>
      </c>
      <c r="J37" s="247">
        <f t="shared" si="14"/>
        <v>36</v>
      </c>
      <c r="K37" s="247">
        <f t="shared" si="14"/>
        <v>36</v>
      </c>
      <c r="L37" s="247">
        <f t="shared" si="14"/>
        <v>36</v>
      </c>
      <c r="M37" s="247">
        <f t="shared" si="14"/>
        <v>36</v>
      </c>
      <c r="N37" s="247">
        <f t="shared" si="14"/>
        <v>36</v>
      </c>
      <c r="O37" s="247">
        <f t="shared" si="14"/>
        <v>-100.52000000000001</v>
      </c>
      <c r="P37" s="247">
        <f t="shared" si="14"/>
        <v>0</v>
      </c>
      <c r="Q37" s="314">
        <f t="shared" si="13"/>
        <v>785.6</v>
      </c>
      <c r="R37" s="387">
        <f t="shared" ref="R37:R54" si="15">+C37-Q37</f>
        <v>-38.600000000000023</v>
      </c>
      <c r="S37" s="29"/>
      <c r="U37" s="373">
        <f>SUM(U33:U36)</f>
        <v>809</v>
      </c>
      <c r="V37" s="210" t="e">
        <f>+U37/#REF!%</f>
        <v>#REF!</v>
      </c>
    </row>
    <row r="38" spans="1:23" ht="13.8" x14ac:dyDescent="0.25">
      <c r="A38" s="354" t="s">
        <v>371</v>
      </c>
      <c r="B38" s="83" t="s">
        <v>319</v>
      </c>
      <c r="C38">
        <v>3600</v>
      </c>
      <c r="D38" s="375"/>
      <c r="E38" s="375"/>
      <c r="F38" s="375"/>
      <c r="G38" s="375"/>
      <c r="H38" s="375">
        <v>1200</v>
      </c>
      <c r="I38" s="375"/>
      <c r="J38" s="375">
        <v>1200</v>
      </c>
      <c r="K38" s="375"/>
      <c r="L38" s="375">
        <v>1200</v>
      </c>
      <c r="M38" s="375"/>
      <c r="N38" s="375"/>
      <c r="O38" s="375"/>
      <c r="P38" s="394"/>
      <c r="Q38" s="268">
        <f>SUM(D38:P38)</f>
        <v>3600</v>
      </c>
      <c r="R38" s="243">
        <f t="shared" si="15"/>
        <v>0</v>
      </c>
    </row>
    <row r="39" spans="1:23" ht="13.8" x14ac:dyDescent="0.25">
      <c r="A39" s="295" t="s">
        <v>371</v>
      </c>
      <c r="B39" s="83" t="s">
        <v>317</v>
      </c>
      <c r="C39">
        <v>-600</v>
      </c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287">
        <f>((SUM(Q38)/6)*-1)-SUM(D39:N39)</f>
        <v>-600</v>
      </c>
      <c r="P39" s="394"/>
      <c r="Q39" s="268">
        <f t="shared" ref="Q39:Q103" si="16">SUM(D39:P39)</f>
        <v>-600</v>
      </c>
      <c r="R39" s="243">
        <f t="shared" si="15"/>
        <v>0</v>
      </c>
      <c r="W39" s="400">
        <v>45810</v>
      </c>
    </row>
    <row r="40" spans="1:23" ht="13.8" x14ac:dyDescent="0.25">
      <c r="A40" s="257" t="s">
        <v>442</v>
      </c>
      <c r="B40" s="83" t="s">
        <v>485</v>
      </c>
      <c r="C40">
        <v>0</v>
      </c>
      <c r="D40" s="375"/>
      <c r="E40" s="375"/>
      <c r="F40" s="375"/>
      <c r="G40" s="375"/>
      <c r="H40" s="375"/>
      <c r="I40" s="375"/>
      <c r="J40" s="375">
        <v>10</v>
      </c>
      <c r="K40" s="375"/>
      <c r="L40" s="375"/>
      <c r="M40" s="375"/>
      <c r="N40" s="375"/>
      <c r="O40" s="375"/>
      <c r="P40" s="394"/>
      <c r="Q40" s="268">
        <f t="shared" si="16"/>
        <v>10</v>
      </c>
      <c r="R40" s="243">
        <f t="shared" si="15"/>
        <v>-10</v>
      </c>
      <c r="W40" s="400">
        <f>+W39+33</f>
        <v>45843</v>
      </c>
    </row>
    <row r="41" spans="1:23" ht="13.8" x14ac:dyDescent="0.25">
      <c r="A41" s="29"/>
      <c r="B41" s="391" t="s">
        <v>336</v>
      </c>
      <c r="C41" s="318">
        <f>SUM(C38:C40)</f>
        <v>3000</v>
      </c>
      <c r="D41" s="231">
        <f>SUM(D38:D40)</f>
        <v>0</v>
      </c>
      <c r="E41" s="231">
        <f>SUM(E38:E40)</f>
        <v>0</v>
      </c>
      <c r="F41" s="231">
        <f t="shared" ref="F41:P41" si="17">SUM(F38:F40)</f>
        <v>0</v>
      </c>
      <c r="G41" s="247">
        <f t="shared" si="17"/>
        <v>0</v>
      </c>
      <c r="H41" s="247">
        <f t="shared" si="17"/>
        <v>1200</v>
      </c>
      <c r="I41" s="247">
        <f t="shared" si="17"/>
        <v>0</v>
      </c>
      <c r="J41" s="247">
        <f t="shared" si="17"/>
        <v>1210</v>
      </c>
      <c r="K41" s="247">
        <f t="shared" si="17"/>
        <v>0</v>
      </c>
      <c r="L41" s="247">
        <f t="shared" si="17"/>
        <v>1200</v>
      </c>
      <c r="M41" s="247">
        <f t="shared" si="17"/>
        <v>0</v>
      </c>
      <c r="N41" s="247">
        <f t="shared" si="17"/>
        <v>0</v>
      </c>
      <c r="O41" s="247">
        <f t="shared" si="17"/>
        <v>-600</v>
      </c>
      <c r="P41" s="247">
        <f t="shared" si="17"/>
        <v>0</v>
      </c>
      <c r="Q41" s="314">
        <f t="shared" si="16"/>
        <v>3010</v>
      </c>
      <c r="R41" s="387">
        <f t="shared" si="15"/>
        <v>-10</v>
      </c>
      <c r="S41" s="29"/>
      <c r="U41" s="364">
        <v>0</v>
      </c>
      <c r="V41" s="210" t="e">
        <f>+U41/#REF!%</f>
        <v>#REF!</v>
      </c>
    </row>
    <row r="42" spans="1:23" ht="13.8" x14ac:dyDescent="0.25">
      <c r="B42" s="83" t="s">
        <v>139</v>
      </c>
      <c r="C42">
        <v>0</v>
      </c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94"/>
      <c r="Q42" s="268">
        <f t="shared" si="16"/>
        <v>0</v>
      </c>
      <c r="R42" s="243">
        <f t="shared" si="15"/>
        <v>0</v>
      </c>
    </row>
    <row r="43" spans="1:23" ht="13.8" x14ac:dyDescent="0.25">
      <c r="A43" s="29"/>
      <c r="B43" s="391" t="s">
        <v>337</v>
      </c>
      <c r="C43" s="318">
        <f>SUM(C42)</f>
        <v>0</v>
      </c>
      <c r="D43" s="231">
        <f t="shared" ref="D43:P43" si="18">SUM(D42:D42)</f>
        <v>0</v>
      </c>
      <c r="E43" s="231">
        <f t="shared" si="18"/>
        <v>0</v>
      </c>
      <c r="F43" s="231">
        <f t="shared" si="18"/>
        <v>0</v>
      </c>
      <c r="G43" s="247">
        <f t="shared" si="18"/>
        <v>0</v>
      </c>
      <c r="H43" s="247">
        <f t="shared" si="18"/>
        <v>0</v>
      </c>
      <c r="I43" s="247">
        <f t="shared" si="18"/>
        <v>0</v>
      </c>
      <c r="J43" s="247">
        <f t="shared" si="18"/>
        <v>0</v>
      </c>
      <c r="K43" s="247">
        <f t="shared" si="18"/>
        <v>0</v>
      </c>
      <c r="L43" s="247">
        <f t="shared" si="18"/>
        <v>0</v>
      </c>
      <c r="M43" s="247">
        <f t="shared" si="18"/>
        <v>0</v>
      </c>
      <c r="N43" s="247">
        <f t="shared" si="18"/>
        <v>0</v>
      </c>
      <c r="O43" s="247">
        <f t="shared" si="18"/>
        <v>0</v>
      </c>
      <c r="P43" s="247">
        <f t="shared" si="18"/>
        <v>0</v>
      </c>
      <c r="Q43" s="314">
        <f t="shared" si="16"/>
        <v>0</v>
      </c>
      <c r="R43" s="387">
        <f t="shared" si="15"/>
        <v>0</v>
      </c>
      <c r="S43" s="29"/>
      <c r="U43" s="364">
        <v>0</v>
      </c>
    </row>
    <row r="44" spans="1:23" ht="13.8" x14ac:dyDescent="0.25">
      <c r="A44" s="257" t="s">
        <v>442</v>
      </c>
      <c r="B44" s="83" t="s">
        <v>153</v>
      </c>
      <c r="C44">
        <v>1768</v>
      </c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94">
        <v>1768</v>
      </c>
      <c r="Q44" s="268">
        <f t="shared" si="16"/>
        <v>1768</v>
      </c>
      <c r="R44" s="243">
        <f t="shared" si="15"/>
        <v>0</v>
      </c>
      <c r="U44" s="363">
        <f>+ROUND(Q44*inflation2728budget%,0)</f>
        <v>1821</v>
      </c>
    </row>
    <row r="45" spans="1:23" ht="13.8" x14ac:dyDescent="0.25">
      <c r="A45" s="246"/>
      <c r="B45" s="391" t="s">
        <v>338</v>
      </c>
      <c r="C45" s="318">
        <f>SUM(C44)</f>
        <v>1768</v>
      </c>
      <c r="D45" s="231">
        <f t="shared" ref="D45:P45" si="19">SUM(D44:D44)</f>
        <v>0</v>
      </c>
      <c r="E45" s="231">
        <f t="shared" si="19"/>
        <v>0</v>
      </c>
      <c r="F45" s="231">
        <f t="shared" si="19"/>
        <v>0</v>
      </c>
      <c r="G45" s="247">
        <f t="shared" si="19"/>
        <v>0</v>
      </c>
      <c r="H45" s="247">
        <f t="shared" si="19"/>
        <v>0</v>
      </c>
      <c r="I45" s="247">
        <f t="shared" si="19"/>
        <v>0</v>
      </c>
      <c r="J45" s="247">
        <f t="shared" si="19"/>
        <v>0</v>
      </c>
      <c r="K45" s="247">
        <f t="shared" si="19"/>
        <v>0</v>
      </c>
      <c r="L45" s="247">
        <f t="shared" si="19"/>
        <v>0</v>
      </c>
      <c r="M45" s="247">
        <f t="shared" si="19"/>
        <v>0</v>
      </c>
      <c r="N45" s="247">
        <f t="shared" si="19"/>
        <v>0</v>
      </c>
      <c r="O45" s="247">
        <f t="shared" si="19"/>
        <v>0</v>
      </c>
      <c r="P45" s="247">
        <f t="shared" si="19"/>
        <v>1768</v>
      </c>
      <c r="Q45" s="314">
        <f t="shared" si="16"/>
        <v>1768</v>
      </c>
      <c r="R45" s="387">
        <f t="shared" si="15"/>
        <v>0</v>
      </c>
      <c r="S45" s="29"/>
      <c r="U45" s="373">
        <f>SUM(U43:U44)</f>
        <v>1821</v>
      </c>
      <c r="V45" s="210" t="e">
        <f>+U45/#REF!%</f>
        <v>#REF!</v>
      </c>
    </row>
    <row r="46" spans="1:23" ht="13.8" x14ac:dyDescent="0.25">
      <c r="A46" s="354" t="s">
        <v>371</v>
      </c>
      <c r="B46" s="83" t="s">
        <v>446</v>
      </c>
      <c r="C46">
        <v>5144</v>
      </c>
      <c r="D46" s="375"/>
      <c r="E46" s="375"/>
      <c r="F46" s="375"/>
      <c r="G46" s="375"/>
      <c r="H46" s="375">
        <v>1878</v>
      </c>
      <c r="I46" s="375">
        <f>5144-H46</f>
        <v>3266</v>
      </c>
      <c r="J46" s="375"/>
      <c r="K46" s="375"/>
      <c r="L46" s="375"/>
      <c r="M46" s="375"/>
      <c r="N46" s="375"/>
      <c r="O46" s="375"/>
      <c r="P46" s="394"/>
      <c r="Q46" s="268">
        <f t="shared" si="16"/>
        <v>5144</v>
      </c>
      <c r="R46" s="243">
        <f t="shared" si="15"/>
        <v>0</v>
      </c>
      <c r="S46" s="15"/>
    </row>
    <row r="47" spans="1:23" ht="13.8" x14ac:dyDescent="0.25">
      <c r="A47" s="354" t="s">
        <v>371</v>
      </c>
      <c r="B47" s="83" t="s">
        <v>447</v>
      </c>
      <c r="C47" s="284">
        <v>1400</v>
      </c>
      <c r="D47" s="375"/>
      <c r="E47" s="375"/>
      <c r="F47" s="375"/>
      <c r="G47" s="375"/>
      <c r="H47" s="375">
        <v>1400</v>
      </c>
      <c r="I47" s="375"/>
      <c r="J47" s="375"/>
      <c r="K47" s="375"/>
      <c r="L47" s="375"/>
      <c r="M47" s="375"/>
      <c r="N47" s="375"/>
      <c r="O47" s="375"/>
      <c r="P47" s="394"/>
      <c r="Q47" s="268">
        <f t="shared" si="16"/>
        <v>1400</v>
      </c>
      <c r="R47" s="243">
        <f t="shared" si="15"/>
        <v>0</v>
      </c>
      <c r="S47" s="15"/>
    </row>
    <row r="48" spans="1:23" ht="13.8" x14ac:dyDescent="0.25">
      <c r="A48" s="354" t="s">
        <v>371</v>
      </c>
      <c r="B48" s="83" t="s">
        <v>448</v>
      </c>
      <c r="C48">
        <v>5456</v>
      </c>
      <c r="D48" s="375"/>
      <c r="E48" s="375"/>
      <c r="F48" s="375"/>
      <c r="G48" s="375"/>
      <c r="H48" s="375"/>
      <c r="I48" s="375"/>
      <c r="J48" s="375"/>
      <c r="K48" s="375"/>
      <c r="L48" s="375"/>
      <c r="M48" s="375">
        <v>5456</v>
      </c>
      <c r="N48" s="375"/>
      <c r="O48" s="375"/>
      <c r="P48" s="394"/>
      <c r="Q48" s="268">
        <f t="shared" si="16"/>
        <v>5456</v>
      </c>
      <c r="R48" s="243">
        <f t="shared" si="15"/>
        <v>0</v>
      </c>
    </row>
    <row r="49" spans="1:22" ht="13.8" x14ac:dyDescent="0.25">
      <c r="A49" s="296" t="s">
        <v>371</v>
      </c>
      <c r="B49" s="83" t="s">
        <v>317</v>
      </c>
      <c r="C49">
        <v>-2000</v>
      </c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287">
        <f>((SUM(Q46:Q48)/6)*-1)-SUM(D49:N49)</f>
        <v>-2000</v>
      </c>
      <c r="P49" s="394"/>
      <c r="Q49" s="268">
        <f t="shared" si="16"/>
        <v>-2000</v>
      </c>
      <c r="R49" s="243">
        <f t="shared" si="15"/>
        <v>0</v>
      </c>
    </row>
    <row r="50" spans="1:22" ht="13.8" x14ac:dyDescent="0.25">
      <c r="A50" s="246" t="s">
        <v>284</v>
      </c>
      <c r="B50" s="391" t="s">
        <v>339</v>
      </c>
      <c r="C50" s="318">
        <f>SUM(C46:C49)</f>
        <v>10000</v>
      </c>
      <c r="D50" s="231">
        <f t="shared" ref="D50:P50" si="20">SUM(D46:D49)</f>
        <v>0</v>
      </c>
      <c r="E50" s="231">
        <f t="shared" si="20"/>
        <v>0</v>
      </c>
      <c r="F50" s="231">
        <f t="shared" si="20"/>
        <v>0</v>
      </c>
      <c r="G50" s="247">
        <f t="shared" si="20"/>
        <v>0</v>
      </c>
      <c r="H50" s="247">
        <f t="shared" si="20"/>
        <v>3278</v>
      </c>
      <c r="I50" s="247">
        <f t="shared" si="20"/>
        <v>3266</v>
      </c>
      <c r="J50" s="247">
        <f t="shared" si="20"/>
        <v>0</v>
      </c>
      <c r="K50" s="247">
        <f t="shared" si="20"/>
        <v>0</v>
      </c>
      <c r="L50" s="247">
        <f t="shared" si="20"/>
        <v>0</v>
      </c>
      <c r="M50" s="247">
        <f t="shared" si="20"/>
        <v>5456</v>
      </c>
      <c r="N50" s="247">
        <f t="shared" si="20"/>
        <v>0</v>
      </c>
      <c r="O50" s="247">
        <f t="shared" si="20"/>
        <v>-2000</v>
      </c>
      <c r="P50" s="247">
        <f t="shared" si="20"/>
        <v>0</v>
      </c>
      <c r="Q50" s="314">
        <f t="shared" si="16"/>
        <v>10000</v>
      </c>
      <c r="R50" s="387">
        <f t="shared" si="15"/>
        <v>0</v>
      </c>
      <c r="S50" s="29"/>
      <c r="T50" s="15" t="s">
        <v>316</v>
      </c>
      <c r="U50" s="364">
        <v>12000</v>
      </c>
      <c r="V50" s="210" t="e">
        <f>+U50/#REF!%</f>
        <v>#REF!</v>
      </c>
    </row>
    <row r="51" spans="1:22" ht="13.8" x14ac:dyDescent="0.25">
      <c r="A51" s="257" t="s">
        <v>442</v>
      </c>
      <c r="B51" s="83" t="s">
        <v>26</v>
      </c>
      <c r="C51">
        <v>217</v>
      </c>
      <c r="D51" s="375"/>
      <c r="E51" s="375"/>
      <c r="F51" s="375"/>
      <c r="G51" s="375"/>
      <c r="H51" s="375"/>
      <c r="I51" s="375"/>
      <c r="J51" s="375"/>
      <c r="K51" s="375">
        <v>217</v>
      </c>
      <c r="L51" s="375"/>
      <c r="M51" s="375"/>
      <c r="N51" s="375"/>
      <c r="O51" s="375"/>
      <c r="P51" s="394"/>
      <c r="Q51" s="268">
        <f t="shared" si="16"/>
        <v>217</v>
      </c>
      <c r="R51" s="243">
        <f t="shared" si="15"/>
        <v>0</v>
      </c>
    </row>
    <row r="52" spans="1:22" ht="13.8" x14ac:dyDescent="0.25">
      <c r="A52" s="257" t="s">
        <v>442</v>
      </c>
      <c r="B52" s="202" t="s">
        <v>449</v>
      </c>
      <c r="C52" s="254">
        <v>0</v>
      </c>
      <c r="D52" s="376"/>
      <c r="E52" s="376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94"/>
      <c r="Q52" s="268">
        <f t="shared" si="16"/>
        <v>0</v>
      </c>
      <c r="R52" s="243">
        <f t="shared" si="15"/>
        <v>0</v>
      </c>
    </row>
    <row r="53" spans="1:22" ht="13.8" x14ac:dyDescent="0.25">
      <c r="A53" s="246"/>
      <c r="B53" s="391" t="s">
        <v>340</v>
      </c>
      <c r="C53" s="318">
        <f>+'25-26 Spend 26-27 budget'!V59</f>
        <v>217</v>
      </c>
      <c r="D53" s="231">
        <f t="shared" ref="D53" si="21">SUM(D51:D51)</f>
        <v>0</v>
      </c>
      <c r="E53" s="231">
        <f t="shared" ref="E53:F53" si="22">SUM(E51:E52)</f>
        <v>0</v>
      </c>
      <c r="F53" s="231">
        <f t="shared" si="22"/>
        <v>0</v>
      </c>
      <c r="G53" s="247">
        <f>SUM(G51:G52)</f>
        <v>0</v>
      </c>
      <c r="H53" s="247">
        <f>SUM(H51:H52)</f>
        <v>0</v>
      </c>
      <c r="I53" s="247">
        <f>SUM(I51:I52)</f>
        <v>0</v>
      </c>
      <c r="J53" s="247">
        <f t="shared" ref="J53:O53" si="23">SUM(J51:J52)</f>
        <v>0</v>
      </c>
      <c r="K53" s="247">
        <f t="shared" si="23"/>
        <v>217</v>
      </c>
      <c r="L53" s="247">
        <f t="shared" si="23"/>
        <v>0</v>
      </c>
      <c r="M53" s="247">
        <f t="shared" si="23"/>
        <v>0</v>
      </c>
      <c r="N53" s="247">
        <f t="shared" si="23"/>
        <v>0</v>
      </c>
      <c r="O53" s="247">
        <f t="shared" si="23"/>
        <v>0</v>
      </c>
      <c r="P53" s="247">
        <f t="shared" ref="P53" si="24">SUM(P51:P52)</f>
        <v>0</v>
      </c>
      <c r="Q53" s="314">
        <f t="shared" si="16"/>
        <v>217</v>
      </c>
      <c r="R53" s="387">
        <f t="shared" si="15"/>
        <v>0</v>
      </c>
      <c r="S53" s="29"/>
      <c r="U53" s="365">
        <v>300</v>
      </c>
    </row>
    <row r="54" spans="1:22" ht="12.6" customHeight="1" x14ac:dyDescent="0.25">
      <c r="A54" s="199" t="s">
        <v>358</v>
      </c>
      <c r="B54" s="199"/>
      <c r="C54" s="115">
        <f t="shared" ref="C54:P54" si="25">+C21+C27+C30+C32+C37+C43+C45+C50+C53+C41</f>
        <v>31300.33</v>
      </c>
      <c r="D54" s="115">
        <f t="shared" si="25"/>
        <v>2827.4</v>
      </c>
      <c r="E54" s="115">
        <f t="shared" si="25"/>
        <v>920.7</v>
      </c>
      <c r="F54" s="115">
        <f t="shared" si="25"/>
        <v>1809.3899999999999</v>
      </c>
      <c r="G54" s="115">
        <f t="shared" si="25"/>
        <v>1625.54</v>
      </c>
      <c r="H54" s="115">
        <f t="shared" si="25"/>
        <v>5984.82</v>
      </c>
      <c r="I54" s="115">
        <f t="shared" si="25"/>
        <v>4122.6000000000004</v>
      </c>
      <c r="J54" s="115">
        <f t="shared" si="25"/>
        <v>3017.2049999999999</v>
      </c>
      <c r="K54" s="115">
        <f t="shared" si="25"/>
        <v>1122.84025</v>
      </c>
      <c r="L54" s="115">
        <f t="shared" si="25"/>
        <v>3035.8372625000002</v>
      </c>
      <c r="M54" s="115">
        <f t="shared" si="25"/>
        <v>7165.2076256250002</v>
      </c>
      <c r="N54" s="115">
        <f t="shared" si="25"/>
        <v>861.24300690625</v>
      </c>
      <c r="O54" s="115">
        <f t="shared" si="25"/>
        <v>-1881.8995597955736</v>
      </c>
      <c r="P54" s="115">
        <f t="shared" si="25"/>
        <v>1768</v>
      </c>
      <c r="Q54" s="115">
        <f t="shared" si="16"/>
        <v>32378.883585235679</v>
      </c>
      <c r="R54" s="386">
        <f t="shared" si="15"/>
        <v>-1078.553585235677</v>
      </c>
      <c r="S54" s="115"/>
      <c r="U54" s="200">
        <f>SUM(U21:U53)</f>
        <v>37218</v>
      </c>
      <c r="V54" s="210" t="e">
        <f>+U54/#REF!%</f>
        <v>#REF!</v>
      </c>
    </row>
    <row r="55" spans="1:22" ht="12.6" customHeight="1" x14ac:dyDescent="0.25"/>
    <row r="56" spans="1:22" ht="27.6" customHeight="1" x14ac:dyDescent="0.25">
      <c r="A56" s="407" t="s">
        <v>341</v>
      </c>
      <c r="B56" s="407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</row>
    <row r="57" spans="1:22" ht="13.8" x14ac:dyDescent="0.25">
      <c r="A57" s="257" t="s">
        <v>442</v>
      </c>
      <c r="B57" s="83" t="s">
        <v>462</v>
      </c>
      <c r="D57" s="375"/>
      <c r="E57" s="375"/>
      <c r="F57" s="375"/>
      <c r="G57" s="375"/>
      <c r="H57" s="375"/>
      <c r="I57" s="375">
        <v>1020</v>
      </c>
      <c r="J57" s="375"/>
      <c r="K57" s="375"/>
      <c r="L57" s="375"/>
      <c r="M57" s="375"/>
      <c r="N57" s="375"/>
      <c r="O57" s="375"/>
      <c r="P57" s="394"/>
      <c r="Q57" s="268">
        <f t="shared" si="16"/>
        <v>1020</v>
      </c>
      <c r="R57" s="243">
        <f t="shared" ref="R57:R75" si="26">+C57-Q57</f>
        <v>-1020</v>
      </c>
      <c r="U57" s="363">
        <f>+ROUND(Q57*inflation2728budget%,0)</f>
        <v>1051</v>
      </c>
    </row>
    <row r="58" spans="1:22" ht="13.8" x14ac:dyDescent="0.25">
      <c r="A58" s="296" t="s">
        <v>371</v>
      </c>
      <c r="B58" s="83" t="s">
        <v>317</v>
      </c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287">
        <f>((SUM(Q57)*0.16671)*-1)-SUM(D58:N58)</f>
        <v>-170.04419999999999</v>
      </c>
      <c r="P58" s="394"/>
      <c r="Q58" s="268">
        <f t="shared" si="16"/>
        <v>-170.04419999999999</v>
      </c>
      <c r="R58" s="243">
        <f t="shared" si="26"/>
        <v>170.04419999999999</v>
      </c>
      <c r="U58" s="363">
        <f>+ROUND(Q58*inflation2728budget%,0)</f>
        <v>-175</v>
      </c>
    </row>
    <row r="59" spans="1:22" ht="13.8" x14ac:dyDescent="0.25">
      <c r="A59" s="257" t="s">
        <v>442</v>
      </c>
      <c r="B59" s="83" t="s">
        <v>463</v>
      </c>
      <c r="D59" s="375"/>
      <c r="E59" s="375"/>
      <c r="F59" s="375"/>
      <c r="G59" s="375"/>
      <c r="H59" s="375"/>
      <c r="I59" s="375"/>
      <c r="J59" s="375">
        <v>260</v>
      </c>
      <c r="K59" s="375"/>
      <c r="L59" s="375"/>
      <c r="M59" s="375"/>
      <c r="N59" s="375"/>
      <c r="O59" s="375"/>
      <c r="P59" s="394"/>
      <c r="Q59" s="268">
        <f t="shared" si="16"/>
        <v>260</v>
      </c>
      <c r="R59" s="243">
        <f t="shared" si="26"/>
        <v>-260</v>
      </c>
      <c r="U59" s="363">
        <f>+ROUND(Q59*inflation2728budget%,0)</f>
        <v>268</v>
      </c>
    </row>
    <row r="60" spans="1:22" ht="13.8" x14ac:dyDescent="0.25">
      <c r="A60" s="246"/>
      <c r="B60" s="391" t="s">
        <v>342</v>
      </c>
      <c r="C60" s="318">
        <f>+'25-26 Spend 26-27 budget'!V65+'25-26 Spend 26-27 budget'!V67</f>
        <v>1110</v>
      </c>
      <c r="D60" s="231">
        <f t="shared" ref="D60:N60" si="27">SUM(D57:D59)</f>
        <v>0</v>
      </c>
      <c r="E60" s="231">
        <f t="shared" si="27"/>
        <v>0</v>
      </c>
      <c r="F60" s="231">
        <f t="shared" si="27"/>
        <v>0</v>
      </c>
      <c r="G60" s="247">
        <f t="shared" si="27"/>
        <v>0</v>
      </c>
      <c r="H60" s="247">
        <f t="shared" si="27"/>
        <v>0</v>
      </c>
      <c r="I60" s="247">
        <f t="shared" si="27"/>
        <v>1020</v>
      </c>
      <c r="J60" s="247">
        <f t="shared" si="27"/>
        <v>260</v>
      </c>
      <c r="K60" s="247">
        <f t="shared" si="27"/>
        <v>0</v>
      </c>
      <c r="L60" s="247">
        <f t="shared" si="27"/>
        <v>0</v>
      </c>
      <c r="M60" s="247">
        <f t="shared" si="27"/>
        <v>0</v>
      </c>
      <c r="N60" s="247">
        <f t="shared" si="27"/>
        <v>0</v>
      </c>
      <c r="O60" s="247">
        <f>SUM(O57:O59)</f>
        <v>-170.04419999999999</v>
      </c>
      <c r="P60" s="247">
        <f>SUM(P57:P59)</f>
        <v>0</v>
      </c>
      <c r="Q60" s="314">
        <f t="shared" si="16"/>
        <v>1109.9558</v>
      </c>
      <c r="R60" s="387">
        <f t="shared" si="26"/>
        <v>4.4200000000046202E-2</v>
      </c>
      <c r="S60" s="29"/>
      <c r="U60" s="367">
        <f>SUM(U57:U59)</f>
        <v>1144</v>
      </c>
    </row>
    <row r="61" spans="1:22" ht="13.8" x14ac:dyDescent="0.25">
      <c r="A61" s="259" t="s">
        <v>282</v>
      </c>
      <c r="B61" s="83" t="s">
        <v>13</v>
      </c>
      <c r="C61">
        <v>26</v>
      </c>
      <c r="D61" s="375"/>
      <c r="E61" s="375"/>
      <c r="F61" s="375"/>
      <c r="G61" s="375"/>
      <c r="H61" s="375"/>
      <c r="I61" s="375"/>
      <c r="J61" s="375"/>
      <c r="K61" s="375"/>
      <c r="L61" s="375">
        <v>26</v>
      </c>
      <c r="M61" s="375"/>
      <c r="N61" s="375"/>
      <c r="O61" s="375"/>
      <c r="P61" s="394"/>
      <c r="Q61" s="268">
        <f t="shared" si="16"/>
        <v>26</v>
      </c>
      <c r="R61" s="243">
        <f t="shared" si="26"/>
        <v>0</v>
      </c>
      <c r="U61" s="363">
        <f>+ROUND(Q61*inflation2728budget%,0)</f>
        <v>27</v>
      </c>
    </row>
    <row r="62" spans="1:22" ht="13.8" x14ac:dyDescent="0.25">
      <c r="A62" s="246"/>
      <c r="B62" s="391" t="s">
        <v>344</v>
      </c>
      <c r="C62" s="318">
        <f>+'25-26 Spend 26-27 budget'!V69</f>
        <v>26</v>
      </c>
      <c r="D62" s="231">
        <f t="shared" ref="D62:O62" si="28">SUM(D61:D61)</f>
        <v>0</v>
      </c>
      <c r="E62" s="231">
        <f t="shared" si="28"/>
        <v>0</v>
      </c>
      <c r="F62" s="231">
        <f t="shared" si="28"/>
        <v>0</v>
      </c>
      <c r="G62" s="247">
        <f t="shared" si="28"/>
        <v>0</v>
      </c>
      <c r="H62" s="247">
        <f t="shared" si="28"/>
        <v>0</v>
      </c>
      <c r="I62" s="247">
        <f t="shared" si="28"/>
        <v>0</v>
      </c>
      <c r="J62" s="247">
        <f t="shared" si="28"/>
        <v>0</v>
      </c>
      <c r="K62" s="247">
        <f t="shared" si="28"/>
        <v>0</v>
      </c>
      <c r="L62" s="247">
        <f t="shared" si="28"/>
        <v>26</v>
      </c>
      <c r="M62" s="247">
        <f t="shared" si="28"/>
        <v>0</v>
      </c>
      <c r="N62" s="247">
        <f t="shared" si="28"/>
        <v>0</v>
      </c>
      <c r="O62" s="247">
        <f t="shared" si="28"/>
        <v>0</v>
      </c>
      <c r="P62" s="247">
        <f t="shared" ref="P62" si="29">SUM(P61:P61)</f>
        <v>0</v>
      </c>
      <c r="Q62" s="314">
        <f t="shared" si="16"/>
        <v>26</v>
      </c>
      <c r="R62" s="387">
        <f t="shared" si="26"/>
        <v>0</v>
      </c>
      <c r="S62" s="29"/>
      <c r="U62" s="367">
        <f>SUM(U61)</f>
        <v>27</v>
      </c>
    </row>
    <row r="63" spans="1:22" ht="13.8" x14ac:dyDescent="0.25">
      <c r="A63" s="260" t="s">
        <v>282</v>
      </c>
      <c r="B63" s="83" t="s">
        <v>15</v>
      </c>
      <c r="C63">
        <v>270</v>
      </c>
      <c r="D63" s="375"/>
      <c r="E63" s="375"/>
      <c r="F63" s="375"/>
      <c r="G63" s="375"/>
      <c r="H63" s="375"/>
      <c r="I63" s="375"/>
      <c r="J63" s="375"/>
      <c r="K63" s="375"/>
      <c r="L63" s="375">
        <v>270</v>
      </c>
      <c r="M63" s="375"/>
      <c r="N63" s="375"/>
      <c r="O63" s="375"/>
      <c r="P63" s="394"/>
      <c r="Q63" s="268">
        <f t="shared" si="16"/>
        <v>270</v>
      </c>
      <c r="R63" s="243">
        <f t="shared" si="26"/>
        <v>0</v>
      </c>
      <c r="U63" s="363">
        <f>+ROUND(Q63*inflation2728budget%,0)</f>
        <v>278</v>
      </c>
    </row>
    <row r="64" spans="1:22" ht="13.8" x14ac:dyDescent="0.25">
      <c r="A64" s="246"/>
      <c r="B64" s="391" t="s">
        <v>345</v>
      </c>
      <c r="C64" s="318">
        <f>+'25-26 Spend 26-27 budget'!V71</f>
        <v>270</v>
      </c>
      <c r="D64" s="231">
        <f t="shared" ref="D64:O64" si="30">SUM(D63:D63)</f>
        <v>0</v>
      </c>
      <c r="E64" s="231">
        <f t="shared" si="30"/>
        <v>0</v>
      </c>
      <c r="F64" s="231">
        <f t="shared" si="30"/>
        <v>0</v>
      </c>
      <c r="G64" s="247">
        <f t="shared" si="30"/>
        <v>0</v>
      </c>
      <c r="H64" s="247">
        <f t="shared" si="30"/>
        <v>0</v>
      </c>
      <c r="I64" s="247">
        <f t="shared" si="30"/>
        <v>0</v>
      </c>
      <c r="J64" s="247">
        <f t="shared" si="30"/>
        <v>0</v>
      </c>
      <c r="K64" s="247">
        <f t="shared" si="30"/>
        <v>0</v>
      </c>
      <c r="L64" s="247">
        <f t="shared" si="30"/>
        <v>270</v>
      </c>
      <c r="M64" s="247">
        <f t="shared" si="30"/>
        <v>0</v>
      </c>
      <c r="N64" s="247">
        <f t="shared" si="30"/>
        <v>0</v>
      </c>
      <c r="O64" s="247">
        <f t="shared" si="30"/>
        <v>0</v>
      </c>
      <c r="P64" s="247">
        <f t="shared" ref="P64" si="31">SUM(P63:P63)</f>
        <v>0</v>
      </c>
      <c r="Q64" s="314">
        <f t="shared" si="16"/>
        <v>270</v>
      </c>
      <c r="R64" s="387">
        <f t="shared" si="26"/>
        <v>0</v>
      </c>
      <c r="S64" s="29"/>
      <c r="U64" s="367">
        <f>SUM(U63)</f>
        <v>278</v>
      </c>
    </row>
    <row r="65" spans="1:28" ht="13.8" x14ac:dyDescent="0.25">
      <c r="A65" s="259" t="s">
        <v>282</v>
      </c>
      <c r="B65" s="83" t="s">
        <v>425</v>
      </c>
      <c r="C65">
        <v>520</v>
      </c>
      <c r="D65" s="211">
        <v>520</v>
      </c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94"/>
      <c r="Q65" s="268">
        <f t="shared" si="16"/>
        <v>520</v>
      </c>
      <c r="R65" s="243">
        <f t="shared" si="26"/>
        <v>0</v>
      </c>
      <c r="U65" s="363">
        <f>+ROUND(Q65*inflation2728budget%,0)</f>
        <v>536</v>
      </c>
    </row>
    <row r="66" spans="1:28" ht="13.8" x14ac:dyDescent="0.25">
      <c r="A66" s="246"/>
      <c r="B66" s="391" t="s">
        <v>346</v>
      </c>
      <c r="C66" s="318">
        <f>+'25-26 Spend 26-27 budget'!V73</f>
        <v>520</v>
      </c>
      <c r="D66" s="231">
        <f t="shared" ref="D66:O66" si="32">SUM(D65:D65)</f>
        <v>520</v>
      </c>
      <c r="E66" s="231">
        <f t="shared" si="32"/>
        <v>0</v>
      </c>
      <c r="F66" s="231">
        <f t="shared" si="32"/>
        <v>0</v>
      </c>
      <c r="G66" s="247">
        <f t="shared" si="32"/>
        <v>0</v>
      </c>
      <c r="H66" s="247">
        <f t="shared" si="32"/>
        <v>0</v>
      </c>
      <c r="I66" s="247">
        <f t="shared" si="32"/>
        <v>0</v>
      </c>
      <c r="J66" s="247">
        <f t="shared" si="32"/>
        <v>0</v>
      </c>
      <c r="K66" s="247">
        <f t="shared" si="32"/>
        <v>0</v>
      </c>
      <c r="L66" s="247">
        <f t="shared" si="32"/>
        <v>0</v>
      </c>
      <c r="M66" s="247">
        <f t="shared" si="32"/>
        <v>0</v>
      </c>
      <c r="N66" s="247">
        <f t="shared" si="32"/>
        <v>0</v>
      </c>
      <c r="O66" s="247">
        <f t="shared" si="32"/>
        <v>0</v>
      </c>
      <c r="P66" s="247">
        <f t="shared" ref="P66" si="33">SUM(P65:P65)</f>
        <v>0</v>
      </c>
      <c r="Q66" s="314">
        <f t="shared" si="16"/>
        <v>520</v>
      </c>
      <c r="R66" s="387">
        <f t="shared" si="26"/>
        <v>0</v>
      </c>
      <c r="S66" s="29"/>
      <c r="U66" s="367">
        <f>SUM(U65)</f>
        <v>536</v>
      </c>
    </row>
    <row r="67" spans="1:28" ht="13.8" x14ac:dyDescent="0.25">
      <c r="A67" s="259" t="s">
        <v>282</v>
      </c>
      <c r="B67" s="83" t="s">
        <v>426</v>
      </c>
      <c r="C67">
        <v>270</v>
      </c>
      <c r="D67" s="375"/>
      <c r="E67" s="375"/>
      <c r="F67" s="375"/>
      <c r="G67" s="375"/>
      <c r="H67" s="375"/>
      <c r="I67" s="375"/>
      <c r="J67" s="375"/>
      <c r="K67" s="375"/>
      <c r="L67" s="375"/>
      <c r="M67" s="375">
        <v>270</v>
      </c>
      <c r="N67" s="375"/>
      <c r="O67" s="375"/>
      <c r="P67" s="394"/>
      <c r="Q67" s="268">
        <f t="shared" si="16"/>
        <v>270</v>
      </c>
      <c r="R67" s="243">
        <f t="shared" si="26"/>
        <v>0</v>
      </c>
      <c r="U67" s="363">
        <f>+ROUND(Q67*inflation2728budget%,0)</f>
        <v>278</v>
      </c>
    </row>
    <row r="68" spans="1:28" ht="13.8" x14ac:dyDescent="0.25">
      <c r="A68" s="246" t="s">
        <v>282</v>
      </c>
      <c r="B68" s="391" t="s">
        <v>347</v>
      </c>
      <c r="C68" s="318">
        <f>+'25-26 Spend 26-27 budget'!V75</f>
        <v>270</v>
      </c>
      <c r="D68" s="231">
        <f t="shared" ref="D68:O68" si="34">SUM(D67:D67)</f>
        <v>0</v>
      </c>
      <c r="E68" s="231">
        <f t="shared" si="34"/>
        <v>0</v>
      </c>
      <c r="F68" s="231">
        <f t="shared" si="34"/>
        <v>0</v>
      </c>
      <c r="G68" s="247">
        <f t="shared" si="34"/>
        <v>0</v>
      </c>
      <c r="H68" s="247">
        <f t="shared" si="34"/>
        <v>0</v>
      </c>
      <c r="I68" s="247">
        <f t="shared" si="34"/>
        <v>0</v>
      </c>
      <c r="J68" s="247">
        <f t="shared" si="34"/>
        <v>0</v>
      </c>
      <c r="K68" s="247">
        <f t="shared" si="34"/>
        <v>0</v>
      </c>
      <c r="L68" s="247">
        <f t="shared" si="34"/>
        <v>0</v>
      </c>
      <c r="M68" s="247">
        <f t="shared" si="34"/>
        <v>270</v>
      </c>
      <c r="N68" s="247">
        <f t="shared" si="34"/>
        <v>0</v>
      </c>
      <c r="O68" s="247">
        <f t="shared" si="34"/>
        <v>0</v>
      </c>
      <c r="P68" s="247">
        <f t="shared" ref="P68" si="35">SUM(P67:P67)</f>
        <v>0</v>
      </c>
      <c r="Q68" s="314">
        <f t="shared" si="16"/>
        <v>270</v>
      </c>
      <c r="R68" s="387">
        <f t="shared" si="26"/>
        <v>0</v>
      </c>
      <c r="S68" s="29"/>
      <c r="U68" s="367">
        <f>SUM(U67)</f>
        <v>278</v>
      </c>
    </row>
    <row r="69" spans="1:28" ht="13.8" x14ac:dyDescent="0.25">
      <c r="A69" s="257" t="s">
        <v>282</v>
      </c>
      <c r="B69" s="83" t="s">
        <v>424</v>
      </c>
      <c r="C69">
        <v>520</v>
      </c>
      <c r="D69" s="375"/>
      <c r="E69" s="375"/>
      <c r="F69" s="375"/>
      <c r="G69" s="375"/>
      <c r="H69" s="375"/>
      <c r="I69" s="375"/>
      <c r="J69" s="375">
        <v>520</v>
      </c>
      <c r="K69" s="375"/>
      <c r="L69" s="375"/>
      <c r="M69" s="375"/>
      <c r="N69" s="375"/>
      <c r="O69" s="375"/>
      <c r="P69" s="394"/>
      <c r="Q69" s="268">
        <f t="shared" si="16"/>
        <v>520</v>
      </c>
      <c r="R69" s="243">
        <f t="shared" si="26"/>
        <v>0</v>
      </c>
      <c r="U69" s="363">
        <f>+ROUND(Q69*inflation2728budget%,0)</f>
        <v>536</v>
      </c>
    </row>
    <row r="70" spans="1:28" ht="13.8" x14ac:dyDescent="0.25">
      <c r="A70" s="296"/>
      <c r="B70" s="83" t="s">
        <v>317</v>
      </c>
      <c r="C70" s="284">
        <v>-86.7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287">
        <f>((SUM(Q69)*0.16673)*-1)-SUM(D70:N70)</f>
        <v>-86.69959999999999</v>
      </c>
      <c r="P70" s="394"/>
      <c r="Q70" s="268">
        <f t="shared" si="16"/>
        <v>-86.69959999999999</v>
      </c>
      <c r="R70" s="243">
        <f t="shared" si="26"/>
        <v>-4.0000000001327862E-4</v>
      </c>
      <c r="U70" s="363">
        <f>+ROUND(Q70*inflation2728budget%,0)</f>
        <v>-89</v>
      </c>
    </row>
    <row r="71" spans="1:28" ht="13.8" x14ac:dyDescent="0.25">
      <c r="A71" s="246" t="s">
        <v>282</v>
      </c>
      <c r="B71" s="391" t="s">
        <v>348</v>
      </c>
      <c r="C71" s="318">
        <f>+'25-26 Spend 26-27 budget'!V78</f>
        <v>433</v>
      </c>
      <c r="D71" s="231">
        <f t="shared" ref="D71" si="36">SUM(D69:D70)</f>
        <v>0</v>
      </c>
      <c r="E71" s="231">
        <f t="shared" ref="E71:N71" si="37">SUM(E69:E70)</f>
        <v>0</v>
      </c>
      <c r="F71" s="231">
        <f t="shared" si="37"/>
        <v>0</v>
      </c>
      <c r="G71" s="247">
        <f t="shared" si="37"/>
        <v>0</v>
      </c>
      <c r="H71" s="247">
        <f t="shared" si="37"/>
        <v>0</v>
      </c>
      <c r="I71" s="247">
        <f t="shared" si="37"/>
        <v>0</v>
      </c>
      <c r="J71" s="247">
        <f t="shared" si="37"/>
        <v>520</v>
      </c>
      <c r="K71" s="247">
        <f t="shared" si="37"/>
        <v>0</v>
      </c>
      <c r="L71" s="247">
        <f t="shared" si="37"/>
        <v>0</v>
      </c>
      <c r="M71" s="247">
        <f t="shared" si="37"/>
        <v>0</v>
      </c>
      <c r="N71" s="247">
        <f t="shared" si="37"/>
        <v>0</v>
      </c>
      <c r="O71" s="247">
        <f>SUM(O69:O70)</f>
        <v>-86.69959999999999</v>
      </c>
      <c r="P71" s="247">
        <f>SUM(P69:P70)</f>
        <v>0</v>
      </c>
      <c r="Q71" s="314">
        <f t="shared" si="16"/>
        <v>433.30040000000002</v>
      </c>
      <c r="R71" s="387">
        <f t="shared" si="26"/>
        <v>-0.30040000000002465</v>
      </c>
      <c r="S71" s="29"/>
      <c r="U71" s="367">
        <f>SUM(U69:U70)</f>
        <v>447</v>
      </c>
    </row>
    <row r="72" spans="1:28" ht="13.8" x14ac:dyDescent="0.25">
      <c r="A72" s="257" t="s">
        <v>442</v>
      </c>
      <c r="B72" s="83" t="s">
        <v>23</v>
      </c>
      <c r="C72" s="284">
        <v>100</v>
      </c>
      <c r="D72" s="392">
        <v>18.64</v>
      </c>
      <c r="E72" s="301">
        <v>17.78</v>
      </c>
      <c r="F72" s="301">
        <v>0</v>
      </c>
      <c r="G72" s="405">
        <v>18.29</v>
      </c>
      <c r="H72" s="378"/>
      <c r="I72" s="378"/>
      <c r="J72" s="378"/>
      <c r="K72" s="378"/>
      <c r="L72" s="378"/>
      <c r="M72" s="378"/>
      <c r="N72" s="378"/>
      <c r="O72" s="378"/>
      <c r="P72" s="396"/>
      <c r="Q72" s="268">
        <f t="shared" si="16"/>
        <v>54.71</v>
      </c>
      <c r="R72" s="243">
        <f t="shared" si="26"/>
        <v>45.29</v>
      </c>
    </row>
    <row r="73" spans="1:28" ht="13.8" x14ac:dyDescent="0.25">
      <c r="A73" s="257" t="s">
        <v>442</v>
      </c>
      <c r="B73" s="83" t="s">
        <v>486</v>
      </c>
      <c r="C73" s="284">
        <v>-100</v>
      </c>
      <c r="D73" s="383"/>
      <c r="E73" s="249">
        <f>-23.62-17.42-18.64-17.78</f>
        <v>-77.460000000000008</v>
      </c>
      <c r="F73" s="383"/>
      <c r="G73" s="383"/>
      <c r="H73" s="383"/>
      <c r="I73" s="383">
        <f>+G72*-1</f>
        <v>-18.29</v>
      </c>
      <c r="J73" s="375">
        <v>25</v>
      </c>
      <c r="K73" s="383"/>
      <c r="L73" s="383"/>
      <c r="M73" s="383"/>
      <c r="N73" s="383"/>
      <c r="O73" s="384"/>
      <c r="P73" s="396"/>
      <c r="Q73" s="268">
        <f t="shared" si="16"/>
        <v>-70.75</v>
      </c>
      <c r="R73" s="243">
        <f t="shared" si="26"/>
        <v>-29.25</v>
      </c>
    </row>
    <row r="74" spans="1:28" ht="13.8" x14ac:dyDescent="0.25">
      <c r="A74" s="246" t="s">
        <v>282</v>
      </c>
      <c r="B74" s="391" t="s">
        <v>349</v>
      </c>
      <c r="C74" s="318">
        <f>+'25-26 Spend 26-27 budget'!V81</f>
        <v>0</v>
      </c>
      <c r="D74" s="231">
        <f t="shared" ref="D74:P74" si="38">SUM(D72:D73)</f>
        <v>18.64</v>
      </c>
      <c r="E74" s="231">
        <f t="shared" si="38"/>
        <v>-59.680000000000007</v>
      </c>
      <c r="F74" s="231">
        <f t="shared" si="38"/>
        <v>0</v>
      </c>
      <c r="G74" s="247">
        <f t="shared" si="38"/>
        <v>18.29</v>
      </c>
      <c r="H74" s="247">
        <f t="shared" si="38"/>
        <v>0</v>
      </c>
      <c r="I74" s="247">
        <f t="shared" si="38"/>
        <v>-18.29</v>
      </c>
      <c r="J74" s="247">
        <f t="shared" si="38"/>
        <v>25</v>
      </c>
      <c r="K74" s="247">
        <f t="shared" si="38"/>
        <v>0</v>
      </c>
      <c r="L74" s="247">
        <f t="shared" si="38"/>
        <v>0</v>
      </c>
      <c r="M74" s="247">
        <f t="shared" si="38"/>
        <v>0</v>
      </c>
      <c r="N74" s="247">
        <f t="shared" si="38"/>
        <v>0</v>
      </c>
      <c r="O74" s="247">
        <f t="shared" si="38"/>
        <v>0</v>
      </c>
      <c r="P74" s="247">
        <f t="shared" si="38"/>
        <v>0</v>
      </c>
      <c r="Q74" s="314">
        <f t="shared" si="16"/>
        <v>-16.040000000000006</v>
      </c>
      <c r="R74" s="387">
        <f t="shared" si="26"/>
        <v>16.040000000000006</v>
      </c>
    </row>
    <row r="75" spans="1:28" ht="13.8" x14ac:dyDescent="0.25">
      <c r="A75" s="113" t="s">
        <v>350</v>
      </c>
      <c r="B75" s="196"/>
      <c r="C75" s="366">
        <f>+C60+C62+C64+C66+C68+C71+C74</f>
        <v>2629</v>
      </c>
      <c r="D75" s="212">
        <f t="shared" ref="D75:P75" si="39">+D74+D71+D68+D66+D64+D62+D60</f>
        <v>538.64</v>
      </c>
      <c r="E75" s="212">
        <f t="shared" si="39"/>
        <v>-59.680000000000007</v>
      </c>
      <c r="F75" s="212">
        <f t="shared" si="39"/>
        <v>0</v>
      </c>
      <c r="G75" s="212">
        <f t="shared" si="39"/>
        <v>18.29</v>
      </c>
      <c r="H75" s="212">
        <f t="shared" si="39"/>
        <v>0</v>
      </c>
      <c r="I75" s="212">
        <f t="shared" si="39"/>
        <v>1001.71</v>
      </c>
      <c r="J75" s="212">
        <f t="shared" si="39"/>
        <v>805</v>
      </c>
      <c r="K75" s="212">
        <f t="shared" si="39"/>
        <v>0</v>
      </c>
      <c r="L75" s="212">
        <f t="shared" si="39"/>
        <v>296</v>
      </c>
      <c r="M75" s="212">
        <f t="shared" si="39"/>
        <v>270</v>
      </c>
      <c r="N75" s="212">
        <f t="shared" si="39"/>
        <v>0</v>
      </c>
      <c r="O75" s="212">
        <f t="shared" si="39"/>
        <v>-256.74379999999996</v>
      </c>
      <c r="P75" s="212">
        <f t="shared" si="39"/>
        <v>0</v>
      </c>
      <c r="Q75" s="212">
        <f t="shared" si="16"/>
        <v>2613.2161999999998</v>
      </c>
      <c r="R75" s="386">
        <f t="shared" si="26"/>
        <v>15.783800000000156</v>
      </c>
      <c r="S75" s="212"/>
      <c r="U75" s="212">
        <f>+U74+U71+U68+U66+U64+U62+U60</f>
        <v>2710</v>
      </c>
      <c r="V75" s="210" t="e">
        <f>+U75/#REF!%</f>
        <v>#REF!</v>
      </c>
    </row>
    <row r="76" spans="1:28" x14ac:dyDescent="0.25">
      <c r="A76" s="210"/>
      <c r="B76" s="210"/>
      <c r="C76" s="210"/>
      <c r="Q76" s="268"/>
      <c r="R76" s="210"/>
      <c r="Y76" s="210"/>
      <c r="Z76" s="211">
        <f>23.62+17.42</f>
        <v>41.040000000000006</v>
      </c>
      <c r="AB76" s="210">
        <f>SUM(X76:AA76)</f>
        <v>41.040000000000006</v>
      </c>
    </row>
    <row r="77" spans="1:28" ht="13.8" x14ac:dyDescent="0.25">
      <c r="A77" s="407" t="s">
        <v>451</v>
      </c>
      <c r="B77" s="407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</row>
    <row r="78" spans="1:28" ht="13.8" x14ac:dyDescent="0.25">
      <c r="A78" s="257" t="s">
        <v>442</v>
      </c>
      <c r="B78" s="83" t="s">
        <v>237</v>
      </c>
      <c r="C78">
        <v>8078</v>
      </c>
      <c r="D78" s="211">
        <v>673</v>
      </c>
      <c r="E78" s="211">
        <v>673</v>
      </c>
      <c r="F78" s="211">
        <v>673</v>
      </c>
      <c r="G78" s="403">
        <v>673</v>
      </c>
      <c r="H78" s="375">
        <v>673</v>
      </c>
      <c r="I78" s="375">
        <v>673</v>
      </c>
      <c r="J78" s="375">
        <v>673</v>
      </c>
      <c r="K78" s="375">
        <v>673</v>
      </c>
      <c r="L78" s="375">
        <v>673</v>
      </c>
      <c r="M78" s="375">
        <v>673</v>
      </c>
      <c r="N78" s="353">
        <f>+M78*1.04</f>
        <v>699.92000000000007</v>
      </c>
      <c r="O78" s="375">
        <f>+N78</f>
        <v>699.92000000000007</v>
      </c>
      <c r="P78" s="394">
        <v>0</v>
      </c>
      <c r="Q78" s="268">
        <f t="shared" si="16"/>
        <v>8129.84</v>
      </c>
      <c r="R78" s="243">
        <f t="shared" ref="R78:R94" si="40">+C78-Q78</f>
        <v>-51.840000000000146</v>
      </c>
      <c r="U78" s="363">
        <f>+ROUND(Q78*inflation2728budget%,0)</f>
        <v>8374</v>
      </c>
      <c r="Y78">
        <v>77.459999999999994</v>
      </c>
    </row>
    <row r="79" spans="1:28" ht="13.8" x14ac:dyDescent="0.25">
      <c r="A79" s="257" t="s">
        <v>442</v>
      </c>
      <c r="B79" s="83" t="s">
        <v>464</v>
      </c>
      <c r="C79">
        <v>445</v>
      </c>
      <c r="D79" s="375"/>
      <c r="E79" s="375"/>
      <c r="F79" s="375"/>
      <c r="G79" s="375"/>
      <c r="H79" s="375"/>
      <c r="I79" s="375"/>
      <c r="J79" s="375"/>
      <c r="K79" s="375"/>
      <c r="L79" s="375"/>
      <c r="M79" s="375"/>
      <c r="N79" s="375"/>
      <c r="O79" s="375"/>
      <c r="P79" s="394">
        <v>393</v>
      </c>
      <c r="Q79" s="268">
        <f t="shared" si="16"/>
        <v>393</v>
      </c>
      <c r="R79" s="243">
        <f t="shared" si="40"/>
        <v>52</v>
      </c>
      <c r="U79" s="363">
        <f>+ROUND(Q79*inflation2728budget%,0)</f>
        <v>405</v>
      </c>
      <c r="W79">
        <f>23.62+17.42+18.64</f>
        <v>59.680000000000007</v>
      </c>
    </row>
    <row r="80" spans="1:28" ht="13.8" x14ac:dyDescent="0.25">
      <c r="A80" s="29"/>
      <c r="B80" s="391" t="s">
        <v>359</v>
      </c>
      <c r="C80" s="318">
        <f>+'25-26 Spend 26-27 budget'!V86</f>
        <v>8523</v>
      </c>
      <c r="D80" s="231">
        <f>SUM(D78:D79)</f>
        <v>673</v>
      </c>
      <c r="E80" s="231">
        <f t="shared" ref="E80:P80" si="41">SUM(E78:E79)</f>
        <v>673</v>
      </c>
      <c r="F80" s="231">
        <f t="shared" si="41"/>
        <v>673</v>
      </c>
      <c r="G80" s="247">
        <f t="shared" si="41"/>
        <v>673</v>
      </c>
      <c r="H80" s="247">
        <f t="shared" si="41"/>
        <v>673</v>
      </c>
      <c r="I80" s="247">
        <f t="shared" si="41"/>
        <v>673</v>
      </c>
      <c r="J80" s="247">
        <f t="shared" si="41"/>
        <v>673</v>
      </c>
      <c r="K80" s="247">
        <f t="shared" si="41"/>
        <v>673</v>
      </c>
      <c r="L80" s="247">
        <f t="shared" si="41"/>
        <v>673</v>
      </c>
      <c r="M80" s="247">
        <f t="shared" si="41"/>
        <v>673</v>
      </c>
      <c r="N80" s="247">
        <f t="shared" si="41"/>
        <v>699.92000000000007</v>
      </c>
      <c r="O80" s="247">
        <f t="shared" si="41"/>
        <v>699.92000000000007</v>
      </c>
      <c r="P80" s="247">
        <f t="shared" si="41"/>
        <v>393</v>
      </c>
      <c r="Q80" s="314">
        <f t="shared" si="16"/>
        <v>8522.84</v>
      </c>
      <c r="R80" s="387">
        <f t="shared" si="40"/>
        <v>0.15999999999985448</v>
      </c>
      <c r="S80" s="29"/>
      <c r="U80" s="373">
        <f>SUM(U78:U79)</f>
        <v>8779</v>
      </c>
    </row>
    <row r="81" spans="1:22" ht="13.8" x14ac:dyDescent="0.25">
      <c r="A81" s="259" t="s">
        <v>300</v>
      </c>
      <c r="B81" s="83" t="s">
        <v>134</v>
      </c>
      <c r="C81">
        <v>784</v>
      </c>
      <c r="D81" s="375"/>
      <c r="E81" s="375"/>
      <c r="F81" s="375"/>
      <c r="G81" s="375"/>
      <c r="H81" s="375"/>
      <c r="I81" s="375"/>
      <c r="J81" s="375">
        <v>250</v>
      </c>
      <c r="K81" s="375"/>
      <c r="L81" s="375"/>
      <c r="M81" s="375">
        <v>284</v>
      </c>
      <c r="N81" s="375"/>
      <c r="O81" s="375">
        <v>250</v>
      </c>
      <c r="P81" s="394"/>
      <c r="Q81" s="268">
        <f t="shared" si="16"/>
        <v>784</v>
      </c>
      <c r="R81" s="243">
        <f t="shared" si="40"/>
        <v>0</v>
      </c>
      <c r="S81" s="15"/>
      <c r="U81" s="363">
        <f>+ROUND(Q81*inflation2728budget%,0)</f>
        <v>808</v>
      </c>
    </row>
    <row r="82" spans="1:22" ht="13.8" x14ac:dyDescent="0.25">
      <c r="A82" s="259"/>
      <c r="B82" s="83" t="s">
        <v>385</v>
      </c>
      <c r="C82">
        <v>75</v>
      </c>
      <c r="D82" s="375"/>
      <c r="E82" s="375"/>
      <c r="F82" s="375"/>
      <c r="G82" s="403">
        <v>30</v>
      </c>
      <c r="H82" s="375"/>
      <c r="I82" s="375"/>
      <c r="J82" s="375"/>
      <c r="K82" s="375">
        <v>25</v>
      </c>
      <c r="L82" s="375"/>
      <c r="M82" s="375"/>
      <c r="N82" s="375">
        <v>25</v>
      </c>
      <c r="O82" s="375"/>
      <c r="P82" s="394"/>
      <c r="Q82" s="268">
        <f t="shared" si="16"/>
        <v>80</v>
      </c>
      <c r="R82" s="243">
        <f t="shared" si="40"/>
        <v>-5</v>
      </c>
      <c r="S82" s="15"/>
      <c r="U82" s="363">
        <f>+ROUND(Q82*inflation2728budget%,0)</f>
        <v>82</v>
      </c>
    </row>
    <row r="83" spans="1:22" ht="13.8" x14ac:dyDescent="0.25">
      <c r="A83" s="29"/>
      <c r="B83" s="391" t="s">
        <v>362</v>
      </c>
      <c r="C83" s="318">
        <f>+'25-26 Spend 26-27 budget'!V89</f>
        <v>859</v>
      </c>
      <c r="D83" s="231">
        <f t="shared" ref="D83:N83" si="42">SUM(D81:D82)</f>
        <v>0</v>
      </c>
      <c r="E83" s="231">
        <f t="shared" si="42"/>
        <v>0</v>
      </c>
      <c r="F83" s="231">
        <f t="shared" si="42"/>
        <v>0</v>
      </c>
      <c r="G83" s="247">
        <f t="shared" si="42"/>
        <v>30</v>
      </c>
      <c r="H83" s="247">
        <f t="shared" si="42"/>
        <v>0</v>
      </c>
      <c r="I83" s="247">
        <f t="shared" si="42"/>
        <v>0</v>
      </c>
      <c r="J83" s="247">
        <f t="shared" si="42"/>
        <v>250</v>
      </c>
      <c r="K83" s="247">
        <f t="shared" si="42"/>
        <v>25</v>
      </c>
      <c r="L83" s="247">
        <f t="shared" si="42"/>
        <v>0</v>
      </c>
      <c r="M83" s="247">
        <f t="shared" si="42"/>
        <v>284</v>
      </c>
      <c r="N83" s="247">
        <f t="shared" si="42"/>
        <v>25</v>
      </c>
      <c r="O83" s="247">
        <f>SUM(O81:O82)</f>
        <v>250</v>
      </c>
      <c r="P83" s="247">
        <f>SUM(P81:P82)</f>
        <v>0</v>
      </c>
      <c r="Q83" s="314">
        <f t="shared" si="16"/>
        <v>864</v>
      </c>
      <c r="R83" s="387">
        <f t="shared" si="40"/>
        <v>-5</v>
      </c>
      <c r="S83" s="29"/>
      <c r="U83" s="373">
        <f>SUM(U81:U82)</f>
        <v>890</v>
      </c>
    </row>
    <row r="84" spans="1:22" ht="13.8" x14ac:dyDescent="0.25">
      <c r="A84" s="259" t="s">
        <v>300</v>
      </c>
      <c r="B84" s="83" t="s">
        <v>386</v>
      </c>
      <c r="C84">
        <v>2000</v>
      </c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5">
        <v>2000</v>
      </c>
      <c r="P84" s="394"/>
      <c r="Q84" s="268">
        <f t="shared" si="16"/>
        <v>2000</v>
      </c>
      <c r="R84" s="243">
        <f t="shared" si="40"/>
        <v>0</v>
      </c>
      <c r="U84" s="368">
        <v>4000</v>
      </c>
    </row>
    <row r="85" spans="1:22" ht="13.8" x14ac:dyDescent="0.25">
      <c r="A85" s="272"/>
      <c r="B85" s="391" t="s">
        <v>363</v>
      </c>
      <c r="C85" s="318">
        <f>+'25-26 Spend 26-27 budget'!V91</f>
        <v>2000</v>
      </c>
      <c r="D85" s="312">
        <f t="shared" ref="D85:P85" si="43">SUM(D84)</f>
        <v>0</v>
      </c>
      <c r="E85" s="312">
        <f t="shared" si="43"/>
        <v>0</v>
      </c>
      <c r="F85" s="312">
        <f t="shared" si="43"/>
        <v>0</v>
      </c>
      <c r="G85" s="313">
        <f t="shared" si="43"/>
        <v>0</v>
      </c>
      <c r="H85" s="313">
        <f t="shared" si="43"/>
        <v>0</v>
      </c>
      <c r="I85" s="313">
        <f t="shared" si="43"/>
        <v>0</v>
      </c>
      <c r="J85" s="313">
        <f t="shared" si="43"/>
        <v>0</v>
      </c>
      <c r="K85" s="313">
        <f t="shared" si="43"/>
        <v>0</v>
      </c>
      <c r="L85" s="313">
        <f t="shared" si="43"/>
        <v>0</v>
      </c>
      <c r="M85" s="313">
        <f t="shared" si="43"/>
        <v>0</v>
      </c>
      <c r="N85" s="313">
        <f t="shared" si="43"/>
        <v>0</v>
      </c>
      <c r="O85" s="313">
        <f t="shared" si="43"/>
        <v>2000</v>
      </c>
      <c r="P85" s="313">
        <f t="shared" si="43"/>
        <v>0</v>
      </c>
      <c r="Q85" s="314">
        <f t="shared" si="16"/>
        <v>2000</v>
      </c>
      <c r="R85" s="387">
        <f t="shared" si="40"/>
        <v>0</v>
      </c>
      <c r="S85" s="29"/>
      <c r="U85" s="373">
        <v>6000</v>
      </c>
    </row>
    <row r="86" spans="1:22" ht="13.8" x14ac:dyDescent="0.25">
      <c r="A86" s="257" t="s">
        <v>300</v>
      </c>
      <c r="B86" s="83" t="s">
        <v>22</v>
      </c>
      <c r="C86">
        <v>8982</v>
      </c>
      <c r="D86" s="211">
        <v>994.54</v>
      </c>
      <c r="E86" s="211">
        <v>994.54</v>
      </c>
      <c r="F86" s="211">
        <v>0</v>
      </c>
      <c r="G86" s="403">
        <v>994.54</v>
      </c>
      <c r="H86" s="375">
        <v>994.54</v>
      </c>
      <c r="I86" s="375">
        <v>0</v>
      </c>
      <c r="J86" s="375">
        <v>0</v>
      </c>
      <c r="K86" s="375">
        <v>0</v>
      </c>
      <c r="L86" s="375">
        <v>0</v>
      </c>
      <c r="M86" s="375">
        <v>0</v>
      </c>
      <c r="N86" s="375">
        <v>0</v>
      </c>
      <c r="O86" s="342">
        <f>8982-SUM(D86:N86)</f>
        <v>5003.84</v>
      </c>
      <c r="P86" s="394"/>
      <c r="Q86" s="268">
        <f t="shared" si="16"/>
        <v>8982</v>
      </c>
      <c r="R86" s="243">
        <f t="shared" si="40"/>
        <v>0</v>
      </c>
      <c r="S86" s="15"/>
      <c r="U86" s="363">
        <f>+ROUND(Q86*inflation2728budget%,0)</f>
        <v>9251</v>
      </c>
    </row>
    <row r="87" spans="1:22" ht="13.8" x14ac:dyDescent="0.25">
      <c r="A87" s="296" t="s">
        <v>371</v>
      </c>
      <c r="B87" s="83" t="s">
        <v>317</v>
      </c>
      <c r="C87" s="284">
        <v>-1497</v>
      </c>
      <c r="D87" s="375"/>
      <c r="E87" s="375"/>
      <c r="F87" s="375"/>
      <c r="G87" s="375"/>
      <c r="H87" s="375"/>
      <c r="I87" s="375"/>
      <c r="J87" s="287">
        <f>((SUM(D86:J86)/6)*-1)-SUM(D87:I87)</f>
        <v>-663.02666666666664</v>
      </c>
      <c r="K87" s="375"/>
      <c r="L87" s="375"/>
      <c r="M87" s="375"/>
      <c r="N87" s="375"/>
      <c r="O87" s="287">
        <f>((SUM(Q86)/6)*-1)-SUM(D87:N87)</f>
        <v>-833.97333333333336</v>
      </c>
      <c r="P87" s="394"/>
      <c r="Q87" s="268">
        <f t="shared" si="16"/>
        <v>-1497</v>
      </c>
      <c r="R87" s="243">
        <f t="shared" si="40"/>
        <v>0</v>
      </c>
      <c r="S87" s="15"/>
      <c r="U87" s="363">
        <f>+ROUND(Q87*inflation2728budget%,0)</f>
        <v>-1542</v>
      </c>
    </row>
    <row r="88" spans="1:22" ht="13.8" x14ac:dyDescent="0.25">
      <c r="A88" s="29"/>
      <c r="B88" s="391" t="s">
        <v>361</v>
      </c>
      <c r="C88" s="318">
        <f>+'25-26 Spend 26-27 budget'!V94</f>
        <v>7485</v>
      </c>
      <c r="D88" s="231">
        <f t="shared" ref="D88:G88" si="44">SUM(D86:D87)</f>
        <v>994.54</v>
      </c>
      <c r="E88" s="231">
        <f t="shared" si="44"/>
        <v>994.54</v>
      </c>
      <c r="F88" s="231">
        <f t="shared" si="44"/>
        <v>0</v>
      </c>
      <c r="G88" s="247">
        <f t="shared" si="44"/>
        <v>994.54</v>
      </c>
      <c r="H88" s="247">
        <f>SUM(H86:H87)</f>
        <v>994.54</v>
      </c>
      <c r="I88" s="247">
        <f t="shared" ref="I88:N88" si="45">SUM(I86:I87)</f>
        <v>0</v>
      </c>
      <c r="J88" s="247">
        <f t="shared" si="45"/>
        <v>-663.02666666666664</v>
      </c>
      <c r="K88" s="247">
        <f t="shared" si="45"/>
        <v>0</v>
      </c>
      <c r="L88" s="247">
        <f t="shared" si="45"/>
        <v>0</v>
      </c>
      <c r="M88" s="247">
        <f t="shared" si="45"/>
        <v>0</v>
      </c>
      <c r="N88" s="247">
        <f t="shared" si="45"/>
        <v>0</v>
      </c>
      <c r="O88" s="247">
        <f>SUM(O86:O87)</f>
        <v>4169.8666666666668</v>
      </c>
      <c r="P88" s="247">
        <f>SUM(P86:P87)</f>
        <v>0</v>
      </c>
      <c r="Q88" s="314">
        <f t="shared" si="16"/>
        <v>7485</v>
      </c>
      <c r="R88" s="387">
        <f t="shared" si="40"/>
        <v>0</v>
      </c>
      <c r="S88" s="246"/>
      <c r="U88" s="373">
        <f>SUM(U86:U87)</f>
        <v>7709</v>
      </c>
    </row>
    <row r="89" spans="1:22" ht="13.8" x14ac:dyDescent="0.25">
      <c r="A89" s="259" t="s">
        <v>300</v>
      </c>
      <c r="B89" s="83" t="s">
        <v>427</v>
      </c>
      <c r="C89" s="284">
        <v>1624</v>
      </c>
      <c r="D89" s="375"/>
      <c r="E89" s="375"/>
      <c r="F89" s="375"/>
      <c r="G89" s="375"/>
      <c r="H89" s="375">
        <v>1624</v>
      </c>
      <c r="I89" s="375"/>
      <c r="J89" s="375"/>
      <c r="K89" s="375"/>
      <c r="L89" s="375"/>
      <c r="M89" s="375"/>
      <c r="N89" s="375"/>
      <c r="O89" s="375"/>
      <c r="P89" s="394"/>
      <c r="Q89" s="268">
        <f t="shared" si="16"/>
        <v>1624</v>
      </c>
      <c r="R89" s="243">
        <f t="shared" si="40"/>
        <v>0</v>
      </c>
      <c r="S89" s="15"/>
      <c r="U89" s="363">
        <f>+ROUND(Q89*inflation2728budget%,0)</f>
        <v>1673</v>
      </c>
    </row>
    <row r="90" spans="1:22" ht="13.8" x14ac:dyDescent="0.25">
      <c r="A90" s="29"/>
      <c r="B90" s="391" t="s">
        <v>360</v>
      </c>
      <c r="C90" s="318">
        <f>+'25-26 Spend 26-27 budget'!V96</f>
        <v>1624</v>
      </c>
      <c r="D90" s="231">
        <f t="shared" ref="D90:P90" si="46">SUM(D89:D89)</f>
        <v>0</v>
      </c>
      <c r="E90" s="231">
        <f t="shared" si="46"/>
        <v>0</v>
      </c>
      <c r="F90" s="231">
        <f t="shared" si="46"/>
        <v>0</v>
      </c>
      <c r="G90" s="247">
        <f t="shared" si="46"/>
        <v>0</v>
      </c>
      <c r="H90" s="247">
        <f t="shared" si="46"/>
        <v>1624</v>
      </c>
      <c r="I90" s="247">
        <f t="shared" si="46"/>
        <v>0</v>
      </c>
      <c r="J90" s="247">
        <f t="shared" si="46"/>
        <v>0</v>
      </c>
      <c r="K90" s="247">
        <f t="shared" si="46"/>
        <v>0</v>
      </c>
      <c r="L90" s="247">
        <f t="shared" si="46"/>
        <v>0</v>
      </c>
      <c r="M90" s="247">
        <f t="shared" si="46"/>
        <v>0</v>
      </c>
      <c r="N90" s="247">
        <f t="shared" si="46"/>
        <v>0</v>
      </c>
      <c r="O90" s="247">
        <f t="shared" si="46"/>
        <v>0</v>
      </c>
      <c r="P90" s="247">
        <f t="shared" si="46"/>
        <v>0</v>
      </c>
      <c r="Q90" s="314">
        <f t="shared" si="16"/>
        <v>1624</v>
      </c>
      <c r="R90" s="387">
        <f t="shared" si="40"/>
        <v>0</v>
      </c>
      <c r="S90" s="29"/>
      <c r="U90" s="373">
        <f>SUM(U89)</f>
        <v>1673</v>
      </c>
    </row>
    <row r="91" spans="1:22" ht="13.8" x14ac:dyDescent="0.25">
      <c r="A91" s="357" t="s">
        <v>371</v>
      </c>
      <c r="B91" s="83" t="s">
        <v>260</v>
      </c>
      <c r="C91">
        <v>1378</v>
      </c>
      <c r="D91" s="375"/>
      <c r="E91" s="375"/>
      <c r="F91" s="375"/>
      <c r="G91" s="375"/>
      <c r="H91" s="375">
        <v>1378</v>
      </c>
      <c r="I91" s="375"/>
      <c r="J91" s="375"/>
      <c r="K91" s="375"/>
      <c r="L91" s="375"/>
      <c r="M91" s="375"/>
      <c r="N91" s="377"/>
      <c r="O91" s="375"/>
      <c r="P91" s="394"/>
      <c r="Q91" s="268">
        <f t="shared" si="16"/>
        <v>1378</v>
      </c>
      <c r="R91" s="243">
        <f t="shared" si="40"/>
        <v>0</v>
      </c>
      <c r="S91" s="15"/>
      <c r="U91" s="363">
        <f>+ROUND(Q91*inflation2728budget%,0)</f>
        <v>1419</v>
      </c>
    </row>
    <row r="92" spans="1:22" ht="13.8" x14ac:dyDescent="0.25">
      <c r="A92" s="296" t="s">
        <v>371</v>
      </c>
      <c r="B92" s="83" t="s">
        <v>317</v>
      </c>
      <c r="C92">
        <v>-229.73</v>
      </c>
      <c r="D92" s="375"/>
      <c r="E92" s="375"/>
      <c r="F92" s="375"/>
      <c r="G92" s="375"/>
      <c r="H92" s="375"/>
      <c r="I92" s="375"/>
      <c r="J92" s="287">
        <f>((SUM(D91:J91)*0.16671)*-1)-SUM(D92:I92)</f>
        <v>-229.72638000000001</v>
      </c>
      <c r="K92" s="375"/>
      <c r="L92" s="375"/>
      <c r="M92" s="375"/>
      <c r="N92" s="375"/>
      <c r="O92" s="287">
        <f>((SUM(Q91)*0.16671)*-1)-SUM(D92:N92)</f>
        <v>0</v>
      </c>
      <c r="P92" s="394"/>
      <c r="Q92" s="268">
        <f t="shared" si="16"/>
        <v>-229.72638000000001</v>
      </c>
      <c r="R92" s="243">
        <f t="shared" si="40"/>
        <v>-3.6199999999837473E-3</v>
      </c>
      <c r="S92" s="15"/>
      <c r="U92" s="363">
        <f>+ROUND(Q92*inflation2728budget%,0)</f>
        <v>-237</v>
      </c>
    </row>
    <row r="93" spans="1:22" ht="13.8" x14ac:dyDescent="0.25">
      <c r="A93" s="246" t="s">
        <v>284</v>
      </c>
      <c r="B93" s="391" t="s">
        <v>364</v>
      </c>
      <c r="C93" s="318">
        <f>+'25-26 Spend 26-27 budget'!V99</f>
        <v>1148</v>
      </c>
      <c r="D93" s="231">
        <f t="shared" ref="D93:P93" si="47">SUM(D91:D92)</f>
        <v>0</v>
      </c>
      <c r="E93" s="231">
        <f t="shared" si="47"/>
        <v>0</v>
      </c>
      <c r="F93" s="231">
        <f t="shared" si="47"/>
        <v>0</v>
      </c>
      <c r="G93" s="247">
        <f t="shared" si="47"/>
        <v>0</v>
      </c>
      <c r="H93" s="247">
        <f t="shared" si="47"/>
        <v>1378</v>
      </c>
      <c r="I93" s="247">
        <f t="shared" si="47"/>
        <v>0</v>
      </c>
      <c r="J93" s="247">
        <f t="shared" si="47"/>
        <v>-229.72638000000001</v>
      </c>
      <c r="K93" s="247">
        <f t="shared" si="47"/>
        <v>0</v>
      </c>
      <c r="L93" s="247">
        <f t="shared" si="47"/>
        <v>0</v>
      </c>
      <c r="M93" s="247">
        <f t="shared" si="47"/>
        <v>0</v>
      </c>
      <c r="N93" s="247">
        <f t="shared" si="47"/>
        <v>0</v>
      </c>
      <c r="O93" s="247">
        <f t="shared" si="47"/>
        <v>0</v>
      </c>
      <c r="P93" s="247">
        <f t="shared" si="47"/>
        <v>0</v>
      </c>
      <c r="Q93" s="314">
        <f t="shared" si="16"/>
        <v>1148.2736199999999</v>
      </c>
      <c r="R93" s="387">
        <f t="shared" si="40"/>
        <v>-0.27361999999993714</v>
      </c>
      <c r="S93" s="15"/>
      <c r="U93" s="373">
        <f>SUM(U91:U92)</f>
        <v>1182</v>
      </c>
    </row>
    <row r="94" spans="1:22" ht="13.8" x14ac:dyDescent="0.25">
      <c r="A94" s="113" t="s">
        <v>379</v>
      </c>
      <c r="B94" s="196"/>
      <c r="C94" s="329">
        <f t="shared" ref="C94:P94" si="48">+C93+C90+C88+C83+C80+C85</f>
        <v>21639</v>
      </c>
      <c r="D94" s="212">
        <f t="shared" si="48"/>
        <v>1667.54</v>
      </c>
      <c r="E94" s="212">
        <f t="shared" si="48"/>
        <v>1667.54</v>
      </c>
      <c r="F94" s="212">
        <f t="shared" si="48"/>
        <v>673</v>
      </c>
      <c r="G94" s="212">
        <f t="shared" si="48"/>
        <v>1697.54</v>
      </c>
      <c r="H94" s="212">
        <f t="shared" si="48"/>
        <v>4669.54</v>
      </c>
      <c r="I94" s="212">
        <f t="shared" si="48"/>
        <v>673</v>
      </c>
      <c r="J94" s="212">
        <f t="shared" si="48"/>
        <v>30.246953333333295</v>
      </c>
      <c r="K94" s="212">
        <f t="shared" si="48"/>
        <v>698</v>
      </c>
      <c r="L94" s="212">
        <f t="shared" si="48"/>
        <v>673</v>
      </c>
      <c r="M94" s="212">
        <f t="shared" si="48"/>
        <v>957</v>
      </c>
      <c r="N94" s="212">
        <f t="shared" si="48"/>
        <v>724.92000000000007</v>
      </c>
      <c r="O94" s="212">
        <f t="shared" si="48"/>
        <v>7119.7866666666669</v>
      </c>
      <c r="P94" s="212">
        <f t="shared" si="48"/>
        <v>393</v>
      </c>
      <c r="Q94" s="269">
        <f t="shared" si="16"/>
        <v>21644.11362</v>
      </c>
      <c r="R94" s="386">
        <f t="shared" si="40"/>
        <v>-5.1136200000000827</v>
      </c>
      <c r="S94" s="114"/>
      <c r="U94" s="200">
        <f>+U93+U90+U88+U85+U83+U80</f>
        <v>26233</v>
      </c>
      <c r="V94" s="210" t="e">
        <f>+U94/#REF!%</f>
        <v>#REF!</v>
      </c>
    </row>
    <row r="95" spans="1:22" x14ac:dyDescent="0.25">
      <c r="A95" s="210"/>
      <c r="B95" s="210"/>
      <c r="C95" s="210"/>
      <c r="Q95" s="268"/>
      <c r="R95" s="210"/>
    </row>
    <row r="96" spans="1:22" ht="13.8" x14ac:dyDescent="0.25">
      <c r="A96" s="113" t="s">
        <v>175</v>
      </c>
      <c r="B96" s="114"/>
      <c r="C96" s="114"/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69"/>
      <c r="R96" s="212"/>
      <c r="S96" s="212"/>
    </row>
    <row r="97" spans="1:22" ht="13.8" x14ac:dyDescent="0.25">
      <c r="A97" s="78"/>
      <c r="B97" s="121" t="s">
        <v>365</v>
      </c>
      <c r="C97">
        <v>1069</v>
      </c>
      <c r="D97" s="377"/>
      <c r="E97" s="377"/>
      <c r="F97" s="377"/>
      <c r="G97" s="377"/>
      <c r="H97" s="377"/>
      <c r="I97" s="377"/>
      <c r="J97" s="377"/>
      <c r="K97" s="377"/>
      <c r="L97" s="377"/>
      <c r="M97" s="377"/>
      <c r="N97" s="377"/>
      <c r="O97" s="377">
        <f>1069-G99</f>
        <v>1039</v>
      </c>
      <c r="P97" s="397"/>
      <c r="Q97" s="268">
        <f t="shared" si="16"/>
        <v>1039</v>
      </c>
      <c r="R97" s="243">
        <f>+C97-Q97</f>
        <v>30</v>
      </c>
      <c r="S97" s="78"/>
      <c r="U97" s="363">
        <f>+ROUND(Q97*inflation2728budget%,0)</f>
        <v>1070</v>
      </c>
    </row>
    <row r="98" spans="1:22" ht="13.8" x14ac:dyDescent="0.25">
      <c r="A98" s="261"/>
      <c r="B98" s="202" t="s">
        <v>428</v>
      </c>
      <c r="C98">
        <v>3380</v>
      </c>
      <c r="D98" s="377"/>
      <c r="E98" s="377"/>
      <c r="F98" s="377"/>
      <c r="G98" s="377"/>
      <c r="H98" s="377"/>
      <c r="I98" s="377"/>
      <c r="J98" s="377"/>
      <c r="K98" s="377"/>
      <c r="L98" s="377"/>
      <c r="M98" s="377"/>
      <c r="N98" s="377"/>
      <c r="O98" s="358">
        <v>3380</v>
      </c>
      <c r="P98" s="397"/>
      <c r="Q98" s="268">
        <f t="shared" si="16"/>
        <v>3380</v>
      </c>
      <c r="R98" s="243">
        <f>+C98-Q98</f>
        <v>0</v>
      </c>
      <c r="S98" s="78"/>
      <c r="U98" s="368">
        <f>+ROUND(Q98*105%,0)</f>
        <v>3549</v>
      </c>
    </row>
    <row r="99" spans="1:22" ht="13.8" x14ac:dyDescent="0.25">
      <c r="A99" s="261"/>
      <c r="B99" s="202" t="s">
        <v>399</v>
      </c>
      <c r="C99">
        <v>0</v>
      </c>
      <c r="D99" s="377"/>
      <c r="E99" s="377"/>
      <c r="F99" s="377"/>
      <c r="G99" s="404">
        <v>30</v>
      </c>
      <c r="H99" s="377"/>
      <c r="I99" s="377"/>
      <c r="J99" s="377"/>
      <c r="K99" s="377"/>
      <c r="L99" s="377"/>
      <c r="M99" s="377"/>
      <c r="N99" s="377"/>
      <c r="O99" s="377"/>
      <c r="P99" s="397"/>
      <c r="Q99" s="268">
        <f t="shared" si="16"/>
        <v>30</v>
      </c>
      <c r="R99" s="308">
        <f>+C99-Q99</f>
        <v>-30</v>
      </c>
      <c r="S99" s="78"/>
      <c r="U99" s="363">
        <f>+ROUND(Q99*inflation2728budget%,0)+250</f>
        <v>281</v>
      </c>
    </row>
    <row r="100" spans="1:22" ht="13.8" x14ac:dyDescent="0.25">
      <c r="A100" s="113" t="s">
        <v>309</v>
      </c>
      <c r="B100" s="193"/>
      <c r="C100" s="352">
        <f>+'25-26 Spend 26-27 budget'!V106</f>
        <v>4449</v>
      </c>
      <c r="D100" s="219">
        <f t="shared" ref="D100:P100" si="49">SUM(D97:D99)</f>
        <v>0</v>
      </c>
      <c r="E100" s="219">
        <f t="shared" si="49"/>
        <v>0</v>
      </c>
      <c r="F100" s="219">
        <f t="shared" si="49"/>
        <v>0</v>
      </c>
      <c r="G100" s="219">
        <f t="shared" si="49"/>
        <v>30</v>
      </c>
      <c r="H100" s="219">
        <f t="shared" si="49"/>
        <v>0</v>
      </c>
      <c r="I100" s="219">
        <f t="shared" si="49"/>
        <v>0</v>
      </c>
      <c r="J100" s="219">
        <f t="shared" si="49"/>
        <v>0</v>
      </c>
      <c r="K100" s="219">
        <f t="shared" si="49"/>
        <v>0</v>
      </c>
      <c r="L100" s="219">
        <f t="shared" si="49"/>
        <v>0</v>
      </c>
      <c r="M100" s="219">
        <f t="shared" si="49"/>
        <v>0</v>
      </c>
      <c r="N100" s="219">
        <f t="shared" si="49"/>
        <v>0</v>
      </c>
      <c r="O100" s="219">
        <f t="shared" si="49"/>
        <v>4419</v>
      </c>
      <c r="P100" s="219">
        <f t="shared" si="49"/>
        <v>0</v>
      </c>
      <c r="Q100" s="269">
        <f t="shared" si="16"/>
        <v>4449</v>
      </c>
      <c r="R100" s="386">
        <f>+C100-Q100</f>
        <v>0</v>
      </c>
      <c r="S100" s="114"/>
      <c r="U100" s="369">
        <f>SUM(U95:U99)</f>
        <v>4900</v>
      </c>
      <c r="V100" s="210" t="e">
        <f>+U100/#REF!%</f>
        <v>#REF!</v>
      </c>
    </row>
    <row r="101" spans="1:22" ht="5.4" customHeight="1" x14ac:dyDescent="0.25">
      <c r="A101" s="21"/>
      <c r="B101" s="21"/>
      <c r="C101" s="21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</row>
    <row r="102" spans="1:22" ht="13.8" x14ac:dyDescent="0.25">
      <c r="A102" s="113" t="s">
        <v>194</v>
      </c>
      <c r="B102" s="114"/>
      <c r="C102" s="114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69"/>
      <c r="R102" s="212"/>
      <c r="S102" s="212"/>
    </row>
    <row r="103" spans="1:22" ht="13.8" x14ac:dyDescent="0.25">
      <c r="A103" s="262"/>
      <c r="B103" s="202" t="s">
        <v>453</v>
      </c>
      <c r="C103" s="77">
        <v>525</v>
      </c>
      <c r="D103" s="376"/>
      <c r="E103" s="376"/>
      <c r="F103" s="376"/>
      <c r="G103" s="376"/>
      <c r="H103" s="376"/>
      <c r="I103" s="376"/>
      <c r="J103" s="376"/>
      <c r="K103" s="376"/>
      <c r="L103" s="376">
        <v>505</v>
      </c>
      <c r="M103" s="376"/>
      <c r="N103" s="376"/>
      <c r="O103" s="376"/>
      <c r="P103" s="396"/>
      <c r="Q103" s="268">
        <f t="shared" si="16"/>
        <v>505</v>
      </c>
      <c r="R103" s="243">
        <f t="shared" ref="R103:R108" si="50">+C103-Q103</f>
        <v>20</v>
      </c>
      <c r="U103" s="363">
        <f>+ROUND(Q103*inflation2728budget%,0)</f>
        <v>520</v>
      </c>
    </row>
    <row r="104" spans="1:22" ht="13.8" x14ac:dyDescent="0.25">
      <c r="A104" s="262"/>
      <c r="B104" s="202" t="s">
        <v>452</v>
      </c>
      <c r="C104" s="77">
        <v>440</v>
      </c>
      <c r="D104" s="376"/>
      <c r="E104" s="376"/>
      <c r="F104" s="376"/>
      <c r="G104" s="376"/>
      <c r="H104" s="376"/>
      <c r="I104" s="376"/>
      <c r="J104" s="376"/>
      <c r="K104" s="376"/>
      <c r="L104" s="376"/>
      <c r="M104" s="375"/>
      <c r="N104" s="376"/>
      <c r="O104" s="376"/>
      <c r="P104" s="396">
        <v>440</v>
      </c>
      <c r="Q104" s="268">
        <f t="shared" ref="Q104:Q138" si="51">SUM(D104:P104)</f>
        <v>440</v>
      </c>
      <c r="R104" s="243">
        <f t="shared" si="50"/>
        <v>0</v>
      </c>
      <c r="U104" s="363">
        <f>+ROUND(Q104*inflation2728budget%,0)</f>
        <v>453</v>
      </c>
    </row>
    <row r="105" spans="1:22" ht="13.8" x14ac:dyDescent="0.25">
      <c r="A105" s="262"/>
      <c r="B105" s="202" t="s">
        <v>454</v>
      </c>
      <c r="C105" s="77">
        <v>1236</v>
      </c>
      <c r="D105" s="376"/>
      <c r="E105" s="376"/>
      <c r="F105" s="376"/>
      <c r="G105" s="376"/>
      <c r="H105" s="376">
        <v>1236</v>
      </c>
      <c r="I105" s="376"/>
      <c r="J105" s="376"/>
      <c r="K105" s="376"/>
      <c r="L105" s="376"/>
      <c r="M105" s="376"/>
      <c r="N105" s="376"/>
      <c r="O105" s="376"/>
      <c r="P105" s="396"/>
      <c r="Q105" s="268">
        <f t="shared" si="51"/>
        <v>1236</v>
      </c>
      <c r="R105" s="243">
        <f t="shared" si="50"/>
        <v>0</v>
      </c>
      <c r="U105" s="363">
        <f>+ROUND(Q105*inflation2728budget%,0)</f>
        <v>1273</v>
      </c>
    </row>
    <row r="106" spans="1:22" ht="13.8" x14ac:dyDescent="0.25">
      <c r="A106" s="262"/>
      <c r="B106" s="202" t="s">
        <v>455</v>
      </c>
      <c r="C106" s="77">
        <v>1560</v>
      </c>
      <c r="D106" s="376"/>
      <c r="E106" s="376"/>
      <c r="F106" s="376"/>
      <c r="G106" s="376"/>
      <c r="H106" s="376"/>
      <c r="I106" s="376"/>
      <c r="J106" s="376">
        <v>1560</v>
      </c>
      <c r="K106" s="376"/>
      <c r="L106" s="376"/>
      <c r="M106" s="376"/>
      <c r="N106" s="376"/>
      <c r="O106" s="376"/>
      <c r="P106" s="396"/>
      <c r="Q106" s="268">
        <f t="shared" si="51"/>
        <v>1560</v>
      </c>
      <c r="R106" s="243">
        <f t="shared" si="50"/>
        <v>0</v>
      </c>
      <c r="U106" s="363">
        <f>+ROUND(Q106*inflation2728budget%,0)</f>
        <v>1607</v>
      </c>
    </row>
    <row r="107" spans="1:22" ht="13.8" x14ac:dyDescent="0.25">
      <c r="A107" s="295" t="s">
        <v>371</v>
      </c>
      <c r="B107" s="202" t="s">
        <v>370</v>
      </c>
      <c r="C107" s="355">
        <v>-621</v>
      </c>
      <c r="D107" s="389"/>
      <c r="E107" s="389"/>
      <c r="F107" s="389"/>
      <c r="G107" s="389"/>
      <c r="H107" s="389"/>
      <c r="I107" s="390"/>
      <c r="J107" s="390"/>
      <c r="K107" s="390"/>
      <c r="L107" s="390"/>
      <c r="M107" s="390"/>
      <c r="N107" s="390"/>
      <c r="O107" s="359">
        <f>((SUM(Q103:Q106)*0.166)*-1)-SUM(D107:N107)</f>
        <v>-621.00600000000009</v>
      </c>
      <c r="P107" s="395"/>
      <c r="Q107" s="274">
        <f t="shared" si="51"/>
        <v>-621.00600000000009</v>
      </c>
      <c r="R107" s="243">
        <f t="shared" si="50"/>
        <v>6.0000000000854925E-3</v>
      </c>
      <c r="U107" s="363">
        <f>+ROUND(Q107*inflation2728budget%,0)</f>
        <v>-640</v>
      </c>
    </row>
    <row r="108" spans="1:22" ht="13.8" x14ac:dyDescent="0.25">
      <c r="A108" s="113" t="s">
        <v>310</v>
      </c>
      <c r="B108" s="196"/>
      <c r="C108" s="318">
        <f>+'25-26 Spend 26-27 budget'!V114</f>
        <v>3120</v>
      </c>
      <c r="D108" s="212">
        <f>SUM(D103:D107)</f>
        <v>0</v>
      </c>
      <c r="E108" s="212">
        <f>SUM(E103:E107)</f>
        <v>0</v>
      </c>
      <c r="F108" s="212">
        <f t="shared" ref="F108:P108" si="52">SUM(F103:F107)</f>
        <v>0</v>
      </c>
      <c r="G108" s="212">
        <f t="shared" si="52"/>
        <v>0</v>
      </c>
      <c r="H108" s="212">
        <f t="shared" si="52"/>
        <v>1236</v>
      </c>
      <c r="I108" s="212">
        <f t="shared" si="52"/>
        <v>0</v>
      </c>
      <c r="J108" s="212">
        <f t="shared" si="52"/>
        <v>1560</v>
      </c>
      <c r="K108" s="212">
        <f t="shared" si="52"/>
        <v>0</v>
      </c>
      <c r="L108" s="212">
        <f t="shared" si="52"/>
        <v>505</v>
      </c>
      <c r="M108" s="212">
        <f t="shared" si="52"/>
        <v>0</v>
      </c>
      <c r="N108" s="212">
        <f t="shared" si="52"/>
        <v>0</v>
      </c>
      <c r="O108" s="388">
        <f t="shared" si="52"/>
        <v>-621.00600000000009</v>
      </c>
      <c r="P108" s="388">
        <f t="shared" si="52"/>
        <v>440</v>
      </c>
      <c r="Q108" s="269">
        <f t="shared" si="51"/>
        <v>3119.9939999999997</v>
      </c>
      <c r="R108" s="386">
        <f t="shared" si="50"/>
        <v>6.0000000003128662E-3</v>
      </c>
      <c r="S108" s="114"/>
      <c r="U108" s="369">
        <f>SUM(U103:U107)</f>
        <v>3213</v>
      </c>
      <c r="V108" s="210" t="e">
        <f>+U108/#REF!%</f>
        <v>#REF!</v>
      </c>
    </row>
    <row r="109" spans="1:22" ht="4.95" customHeight="1" x14ac:dyDescent="0.25"/>
    <row r="110" spans="1:22" ht="13.8" x14ac:dyDescent="0.25">
      <c r="A110" s="113" t="s">
        <v>353</v>
      </c>
      <c r="B110" s="114"/>
      <c r="C110" s="114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212"/>
      <c r="P110" s="212"/>
      <c r="Q110" s="269">
        <f t="shared" si="51"/>
        <v>0</v>
      </c>
      <c r="R110" s="212"/>
      <c r="S110" s="212"/>
    </row>
    <row r="111" spans="1:22" ht="13.8" x14ac:dyDescent="0.25">
      <c r="A111" s="257" t="s">
        <v>442</v>
      </c>
      <c r="B111" s="204" t="s">
        <v>478</v>
      </c>
      <c r="C111" s="356">
        <v>0</v>
      </c>
      <c r="D111" s="376"/>
      <c r="E111" s="376"/>
      <c r="F111" s="376"/>
      <c r="G111" s="376"/>
      <c r="H111" s="376"/>
      <c r="I111" s="376"/>
      <c r="J111" s="376"/>
      <c r="K111" s="376"/>
      <c r="L111" s="376"/>
      <c r="M111" s="375"/>
      <c r="N111" s="376"/>
      <c r="O111" s="376"/>
      <c r="P111" s="396"/>
      <c r="Q111" s="268">
        <f t="shared" si="51"/>
        <v>0</v>
      </c>
      <c r="R111" s="243">
        <f t="shared" ref="R111:R118" si="53">+C111-Q111</f>
        <v>0</v>
      </c>
    </row>
    <row r="112" spans="1:22" ht="13.8" x14ac:dyDescent="0.25">
      <c r="A112" s="257" t="s">
        <v>442</v>
      </c>
      <c r="B112" s="146" t="s">
        <v>479</v>
      </c>
      <c r="C112" s="77">
        <v>0</v>
      </c>
      <c r="D112" s="376"/>
      <c r="E112" s="376"/>
      <c r="F112" s="376"/>
      <c r="G112" s="376"/>
      <c r="H112" s="376"/>
      <c r="I112" s="376"/>
      <c r="J112" s="376"/>
      <c r="K112" s="376"/>
      <c r="L112" s="376"/>
      <c r="M112" s="375"/>
      <c r="N112" s="376"/>
      <c r="O112" s="376"/>
      <c r="P112" s="396"/>
      <c r="Q112" s="268">
        <f t="shared" si="51"/>
        <v>0</v>
      </c>
      <c r="R112" s="243">
        <f t="shared" si="53"/>
        <v>0</v>
      </c>
    </row>
    <row r="113" spans="1:23" ht="13.8" x14ac:dyDescent="0.25">
      <c r="A113" s="263"/>
      <c r="B113" s="146" t="s">
        <v>390</v>
      </c>
      <c r="C113" s="77">
        <v>400</v>
      </c>
      <c r="D113" s="376"/>
      <c r="E113" s="376"/>
      <c r="F113" s="376"/>
      <c r="G113" s="376"/>
      <c r="H113" s="376"/>
      <c r="I113" s="376"/>
      <c r="J113" s="375">
        <v>400</v>
      </c>
      <c r="K113" s="376"/>
      <c r="L113" s="376"/>
      <c r="M113" s="375"/>
      <c r="N113" s="376"/>
      <c r="O113" s="376"/>
      <c r="P113" s="396"/>
      <c r="Q113" s="268">
        <f t="shared" si="51"/>
        <v>400</v>
      </c>
      <c r="R113" s="243">
        <f t="shared" si="53"/>
        <v>0</v>
      </c>
      <c r="W113" s="350">
        <v>400</v>
      </c>
    </row>
    <row r="114" spans="1:23" ht="13.8" x14ac:dyDescent="0.25">
      <c r="A114" s="263"/>
      <c r="B114" s="146" t="s">
        <v>456</v>
      </c>
      <c r="C114" s="77">
        <v>0</v>
      </c>
      <c r="D114" s="376"/>
      <c r="E114" s="376"/>
      <c r="F114" s="376"/>
      <c r="G114" s="376"/>
      <c r="H114" s="376"/>
      <c r="I114" s="376"/>
      <c r="J114" s="376"/>
      <c r="K114" s="375"/>
      <c r="L114" s="376"/>
      <c r="M114" s="375"/>
      <c r="N114" s="376"/>
      <c r="O114" s="376"/>
      <c r="P114" s="396"/>
      <c r="Q114" s="268">
        <f t="shared" si="51"/>
        <v>0</v>
      </c>
      <c r="R114" s="243">
        <f t="shared" si="53"/>
        <v>0</v>
      </c>
      <c r="W114" s="349">
        <v>170</v>
      </c>
    </row>
    <row r="115" spans="1:23" ht="13.8" x14ac:dyDescent="0.25">
      <c r="A115" s="263"/>
      <c r="B115" s="146" t="s">
        <v>457</v>
      </c>
      <c r="C115" s="77">
        <v>0</v>
      </c>
      <c r="D115" s="376"/>
      <c r="E115" s="376"/>
      <c r="F115" s="376"/>
      <c r="G115" s="376"/>
      <c r="H115" s="376"/>
      <c r="I115" s="376"/>
      <c r="J115" s="376"/>
      <c r="K115" s="376"/>
      <c r="L115" s="376"/>
      <c r="M115" s="376"/>
      <c r="N115" s="376"/>
      <c r="O115" s="376"/>
      <c r="P115" s="396"/>
      <c r="Q115" s="268">
        <f t="shared" si="51"/>
        <v>0</v>
      </c>
      <c r="R115" s="243">
        <f t="shared" si="53"/>
        <v>0</v>
      </c>
      <c r="W115" s="264">
        <v>100</v>
      </c>
    </row>
    <row r="116" spans="1:23" ht="13.8" x14ac:dyDescent="0.25">
      <c r="A116" s="263"/>
      <c r="B116" s="146" t="s">
        <v>465</v>
      </c>
      <c r="C116" s="77">
        <v>2100</v>
      </c>
      <c r="D116" s="376"/>
      <c r="E116" s="376"/>
      <c r="F116" s="376"/>
      <c r="G116" s="376"/>
      <c r="H116" s="376"/>
      <c r="I116" s="376"/>
      <c r="J116" s="376"/>
      <c r="K116" s="375"/>
      <c r="L116" s="376"/>
      <c r="M116" s="376"/>
      <c r="N116" s="376"/>
      <c r="O116" s="376">
        <v>1000</v>
      </c>
      <c r="P116" s="396">
        <v>1100</v>
      </c>
      <c r="Q116" s="268">
        <f t="shared" si="51"/>
        <v>2100</v>
      </c>
      <c r="R116" s="243">
        <f t="shared" si="53"/>
        <v>0</v>
      </c>
    </row>
    <row r="117" spans="1:23" ht="13.8" x14ac:dyDescent="0.25">
      <c r="A117" s="295" t="s">
        <v>371</v>
      </c>
      <c r="B117" s="83" t="s">
        <v>458</v>
      </c>
      <c r="C117" s="77">
        <v>0</v>
      </c>
      <c r="D117" s="376"/>
      <c r="E117" s="376"/>
      <c r="F117" s="376"/>
      <c r="G117" s="376"/>
      <c r="H117" s="376"/>
      <c r="I117" s="376"/>
      <c r="J117" s="376"/>
      <c r="K117" s="375"/>
      <c r="L117" s="375"/>
      <c r="M117" s="376"/>
      <c r="N117" s="376"/>
      <c r="O117" s="288">
        <f>+(L114)/120*20*-1</f>
        <v>0</v>
      </c>
      <c r="P117" s="396"/>
      <c r="Q117" s="268">
        <f t="shared" si="51"/>
        <v>0</v>
      </c>
      <c r="R117" s="243">
        <f t="shared" si="53"/>
        <v>0</v>
      </c>
    </row>
    <row r="118" spans="1:23" ht="13.8" x14ac:dyDescent="0.25">
      <c r="A118" s="113" t="s">
        <v>311</v>
      </c>
      <c r="B118" s="114"/>
      <c r="C118" s="352">
        <f>+'25-26 Spend 26-27 budget'!V123</f>
        <v>2500</v>
      </c>
      <c r="D118" s="219">
        <f>SUM(D111:D117)</f>
        <v>0</v>
      </c>
      <c r="E118" s="219">
        <f t="shared" ref="E118:P118" si="54">SUM(E111:E117)</f>
        <v>0</v>
      </c>
      <c r="F118" s="219">
        <f t="shared" si="54"/>
        <v>0</v>
      </c>
      <c r="G118" s="219">
        <f t="shared" si="54"/>
        <v>0</v>
      </c>
      <c r="H118" s="219">
        <f t="shared" si="54"/>
        <v>0</v>
      </c>
      <c r="I118" s="219">
        <f t="shared" si="54"/>
        <v>0</v>
      </c>
      <c r="J118" s="219">
        <f t="shared" si="54"/>
        <v>400</v>
      </c>
      <c r="K118" s="219">
        <f t="shared" si="54"/>
        <v>0</v>
      </c>
      <c r="L118" s="219">
        <f t="shared" si="54"/>
        <v>0</v>
      </c>
      <c r="M118" s="219">
        <f t="shared" si="54"/>
        <v>0</v>
      </c>
      <c r="N118" s="219">
        <f t="shared" si="54"/>
        <v>0</v>
      </c>
      <c r="O118" s="219">
        <f t="shared" si="54"/>
        <v>1000</v>
      </c>
      <c r="P118" s="219">
        <f t="shared" si="54"/>
        <v>1100</v>
      </c>
      <c r="Q118" s="269">
        <f t="shared" si="51"/>
        <v>2500</v>
      </c>
      <c r="R118" s="386">
        <f t="shared" si="53"/>
        <v>0</v>
      </c>
      <c r="S118" s="114"/>
      <c r="U118" s="371">
        <f>+ROUND(Q118*inflation2728budget%,0)</f>
        <v>2575</v>
      </c>
      <c r="V118" s="210" t="e">
        <f>+U118/#REF!%</f>
        <v>#REF!</v>
      </c>
    </row>
    <row r="119" spans="1:23" ht="4.95" customHeight="1" x14ac:dyDescent="0.25"/>
    <row r="120" spans="1:23" ht="13.8" x14ac:dyDescent="0.25">
      <c r="A120" s="113" t="s">
        <v>197</v>
      </c>
      <c r="B120" s="114"/>
      <c r="C120" s="114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69"/>
      <c r="R120" s="212"/>
      <c r="S120" s="212"/>
    </row>
    <row r="121" spans="1:23" ht="13.8" x14ac:dyDescent="0.25">
      <c r="A121" s="297"/>
      <c r="B121" s="202" t="s">
        <v>356</v>
      </c>
      <c r="C121" s="77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376"/>
      <c r="P121" s="396"/>
      <c r="Q121" s="279">
        <f t="shared" si="51"/>
        <v>0</v>
      </c>
      <c r="R121" s="243">
        <f>+C121-Q121</f>
        <v>0</v>
      </c>
    </row>
    <row r="122" spans="1:23" ht="13.8" x14ac:dyDescent="0.25">
      <c r="A122" s="146"/>
      <c r="B122" s="125" t="s">
        <v>450</v>
      </c>
      <c r="C122" s="355">
        <v>10500</v>
      </c>
      <c r="D122" s="389"/>
      <c r="E122" s="389"/>
      <c r="F122" s="389"/>
      <c r="G122" s="389"/>
      <c r="H122" s="389"/>
      <c r="I122" s="389"/>
      <c r="J122" s="389"/>
      <c r="K122" s="389"/>
      <c r="L122" s="389"/>
      <c r="M122" s="389"/>
      <c r="N122" s="389"/>
      <c r="O122" s="389"/>
      <c r="P122" s="396">
        <v>10500</v>
      </c>
      <c r="Q122" s="280">
        <f t="shared" si="51"/>
        <v>10500</v>
      </c>
      <c r="R122" s="243">
        <f>+C122-Q122</f>
        <v>0</v>
      </c>
      <c r="U122" s="370">
        <v>11000</v>
      </c>
    </row>
    <row r="123" spans="1:23" ht="13.8" x14ac:dyDescent="0.25">
      <c r="A123" s="113" t="s">
        <v>312</v>
      </c>
      <c r="B123" s="114"/>
      <c r="C123" s="352">
        <f>+'25-26 Spend 26-27 budget'!V128</f>
        <v>10500</v>
      </c>
      <c r="D123" s="223">
        <f t="shared" ref="D123:P123" si="55">SUM(D121:D122)</f>
        <v>0</v>
      </c>
      <c r="E123" s="223">
        <f t="shared" si="55"/>
        <v>0</v>
      </c>
      <c r="F123" s="223">
        <f t="shared" si="55"/>
        <v>0</v>
      </c>
      <c r="G123" s="223">
        <f t="shared" si="55"/>
        <v>0</v>
      </c>
      <c r="H123" s="223">
        <f t="shared" si="55"/>
        <v>0</v>
      </c>
      <c r="I123" s="223">
        <f t="shared" si="55"/>
        <v>0</v>
      </c>
      <c r="J123" s="223">
        <f t="shared" si="55"/>
        <v>0</v>
      </c>
      <c r="K123" s="223">
        <f t="shared" si="55"/>
        <v>0</v>
      </c>
      <c r="L123" s="223">
        <f t="shared" si="55"/>
        <v>0</v>
      </c>
      <c r="M123" s="223">
        <f t="shared" si="55"/>
        <v>0</v>
      </c>
      <c r="N123" s="223">
        <f t="shared" si="55"/>
        <v>0</v>
      </c>
      <c r="O123" s="223">
        <f t="shared" si="55"/>
        <v>0</v>
      </c>
      <c r="P123" s="223">
        <f t="shared" si="55"/>
        <v>10500</v>
      </c>
      <c r="Q123" s="269">
        <f t="shared" si="51"/>
        <v>10500</v>
      </c>
      <c r="R123" s="386">
        <f>+C123-Q123</f>
        <v>0</v>
      </c>
      <c r="S123" s="114"/>
      <c r="U123" s="369">
        <f>SUM(U122)</f>
        <v>11000</v>
      </c>
      <c r="V123" s="210" t="e">
        <f>+U123/#REF!%</f>
        <v>#REF!</v>
      </c>
    </row>
    <row r="124" spans="1:23" ht="4.95" customHeight="1" x14ac:dyDescent="0.25"/>
    <row r="125" spans="1:23" ht="13.8" x14ac:dyDescent="0.25">
      <c r="A125" s="206" t="s">
        <v>323</v>
      </c>
      <c r="B125" s="203"/>
      <c r="C125" s="203"/>
      <c r="D125" s="220"/>
      <c r="E125" s="220"/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70"/>
      <c r="R125" s="220"/>
      <c r="S125" s="220"/>
    </row>
    <row r="126" spans="1:23" ht="13.8" x14ac:dyDescent="0.25">
      <c r="A126" s="302"/>
      <c r="B126" s="147" t="s">
        <v>354</v>
      </c>
      <c r="C126" s="77">
        <v>6000</v>
      </c>
      <c r="D126" s="376"/>
      <c r="E126" s="376"/>
      <c r="F126" s="376"/>
      <c r="G126" s="376"/>
      <c r="H126" s="376"/>
      <c r="I126" s="376"/>
      <c r="J126" s="376"/>
      <c r="K126" s="376">
        <v>6000</v>
      </c>
      <c r="L126" s="376"/>
      <c r="M126" s="376"/>
      <c r="N126" s="376"/>
      <c r="O126" s="376"/>
      <c r="P126" s="396"/>
      <c r="Q126" s="279">
        <f>SUM(D126:P126)</f>
        <v>6000</v>
      </c>
      <c r="R126" s="243">
        <f>+C126-Q126</f>
        <v>0</v>
      </c>
    </row>
    <row r="127" spans="1:23" ht="13.8" x14ac:dyDescent="0.25">
      <c r="A127" s="302"/>
      <c r="B127" s="147" t="s">
        <v>392</v>
      </c>
      <c r="C127" s="77">
        <v>500</v>
      </c>
      <c r="D127" s="376"/>
      <c r="E127" s="376"/>
      <c r="F127" s="376"/>
      <c r="G127" s="376"/>
      <c r="H127" s="376"/>
      <c r="I127" s="376"/>
      <c r="J127" s="376"/>
      <c r="K127" s="376"/>
      <c r="L127" s="376">
        <v>500</v>
      </c>
      <c r="M127" s="376"/>
      <c r="N127" s="376"/>
      <c r="O127" s="376"/>
      <c r="P127" s="396"/>
      <c r="Q127" s="279">
        <f t="shared" si="51"/>
        <v>500</v>
      </c>
      <c r="R127" s="243">
        <f>+C127-Q127</f>
        <v>0</v>
      </c>
    </row>
    <row r="128" spans="1:23" ht="13.8" x14ac:dyDescent="0.25">
      <c r="A128" s="302"/>
      <c r="B128" s="147" t="s">
        <v>355</v>
      </c>
      <c r="C128" s="77">
        <v>8250</v>
      </c>
      <c r="D128" s="376"/>
      <c r="E128" s="376"/>
      <c r="F128" s="376"/>
      <c r="G128" s="376"/>
      <c r="H128" s="376"/>
      <c r="I128" s="376"/>
      <c r="J128" s="376"/>
      <c r="K128" s="376"/>
      <c r="L128" s="376"/>
      <c r="M128" s="376"/>
      <c r="N128" s="376"/>
      <c r="O128" s="376"/>
      <c r="P128" s="396">
        <v>8250</v>
      </c>
      <c r="Q128" s="268">
        <f t="shared" si="51"/>
        <v>8250</v>
      </c>
      <c r="R128" s="243">
        <f>+C128-Q128</f>
        <v>0</v>
      </c>
    </row>
    <row r="129" spans="1:22" ht="13.8" x14ac:dyDescent="0.25">
      <c r="A129" s="266" t="s">
        <v>313</v>
      </c>
      <c r="B129" s="198"/>
      <c r="C129" s="352">
        <f>+'25-26 Spend 26-27 budget'!V134</f>
        <v>14750</v>
      </c>
      <c r="D129" s="212">
        <f t="shared" ref="D129:G129" si="56">SUM(D126:D128)</f>
        <v>0</v>
      </c>
      <c r="E129" s="212">
        <f t="shared" si="56"/>
        <v>0</v>
      </c>
      <c r="F129" s="212">
        <f t="shared" si="56"/>
        <v>0</v>
      </c>
      <c r="G129" s="212">
        <f t="shared" si="56"/>
        <v>0</v>
      </c>
      <c r="H129" s="212">
        <f>SUM(H126:H128)</f>
        <v>0</v>
      </c>
      <c r="I129" s="212">
        <f t="shared" ref="I129:O129" si="57">SUM(I126:I128)</f>
        <v>0</v>
      </c>
      <c r="J129" s="212">
        <f t="shared" si="57"/>
        <v>0</v>
      </c>
      <c r="K129" s="212">
        <f t="shared" si="57"/>
        <v>6000</v>
      </c>
      <c r="L129" s="212">
        <f t="shared" si="57"/>
        <v>500</v>
      </c>
      <c r="M129" s="212">
        <f t="shared" si="57"/>
        <v>0</v>
      </c>
      <c r="N129" s="212">
        <f t="shared" si="57"/>
        <v>0</v>
      </c>
      <c r="O129" s="212">
        <f t="shared" si="57"/>
        <v>0</v>
      </c>
      <c r="P129" s="212">
        <f>SUM(P126:P128)</f>
        <v>8250</v>
      </c>
      <c r="Q129" s="269">
        <f t="shared" si="51"/>
        <v>14750</v>
      </c>
      <c r="R129" s="386">
        <f>+C129-Q129</f>
        <v>0</v>
      </c>
      <c r="S129" s="114"/>
      <c r="U129" s="372">
        <v>20000</v>
      </c>
      <c r="V129" s="210" t="e">
        <f>+U129/#REF!%</f>
        <v>#REF!</v>
      </c>
    </row>
    <row r="130" spans="1:22" ht="4.95" customHeight="1" x14ac:dyDescent="0.25">
      <c r="R130" s="12"/>
      <c r="S130" s="12"/>
      <c r="T130" s="12"/>
    </row>
    <row r="131" spans="1:22" ht="13.8" x14ac:dyDescent="0.25">
      <c r="A131" s="113" t="s">
        <v>307</v>
      </c>
      <c r="B131" s="114"/>
      <c r="C131" s="114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69"/>
      <c r="R131" s="212"/>
      <c r="S131" s="212"/>
    </row>
    <row r="132" spans="1:22" ht="13.8" x14ac:dyDescent="0.25">
      <c r="A132" s="298"/>
      <c r="B132" s="147" t="s">
        <v>377</v>
      </c>
      <c r="C132" s="254"/>
      <c r="D132" s="376"/>
      <c r="E132" s="376"/>
      <c r="F132" s="376"/>
      <c r="G132" s="376"/>
      <c r="H132" s="376"/>
      <c r="I132" s="376"/>
      <c r="J132" s="376"/>
      <c r="K132" s="376"/>
      <c r="L132" s="376"/>
      <c r="M132" s="376"/>
      <c r="N132" s="376"/>
      <c r="O132" s="376"/>
      <c r="P132" s="396"/>
      <c r="Q132" s="268">
        <f t="shared" si="51"/>
        <v>0</v>
      </c>
      <c r="R132" s="243">
        <f>+C132-Q132</f>
        <v>0</v>
      </c>
    </row>
    <row r="133" spans="1:22" ht="13.8" x14ac:dyDescent="0.25">
      <c r="A133" s="298"/>
      <c r="B133" s="305" t="s">
        <v>459</v>
      </c>
      <c r="C133" s="254"/>
      <c r="D133" s="376"/>
      <c r="E133" s="376"/>
      <c r="F133" s="249">
        <v>86.18</v>
      </c>
      <c r="G133" s="376">
        <f>$F133/$F143*G143</f>
        <v>86.18</v>
      </c>
      <c r="H133" s="376">
        <f>$F133/$F143*H143*0.8</f>
        <v>59.118998574930188</v>
      </c>
      <c r="I133" s="376">
        <f t="shared" ref="I133:O133" si="58">$F133/$F143*I143*0.8</f>
        <v>39.468995724790524</v>
      </c>
      <c r="J133" s="376">
        <f t="shared" si="58"/>
        <v>88.594002850139674</v>
      </c>
      <c r="K133" s="376">
        <f t="shared" si="58"/>
        <v>78.769001425069845</v>
      </c>
      <c r="L133" s="376">
        <f t="shared" si="58"/>
        <v>68.944000000000003</v>
      </c>
      <c r="M133" s="376">
        <f t="shared" si="58"/>
        <v>49.293997149860353</v>
      </c>
      <c r="N133" s="376">
        <f t="shared" si="58"/>
        <v>49.293997149860353</v>
      </c>
      <c r="O133" s="376">
        <f t="shared" si="58"/>
        <v>29.643994299720692</v>
      </c>
      <c r="P133" s="396"/>
      <c r="Q133" s="268">
        <f t="shared" si="51"/>
        <v>635.48698717437173</v>
      </c>
      <c r="R133" s="243">
        <f>+C133-Q133</f>
        <v>-635.48698717437173</v>
      </c>
    </row>
    <row r="134" spans="1:22" ht="13.8" x14ac:dyDescent="0.25">
      <c r="A134" s="298"/>
      <c r="B134" s="147"/>
      <c r="C134" s="254"/>
      <c r="D134" s="376"/>
      <c r="E134" s="376"/>
      <c r="F134" s="376"/>
      <c r="G134" s="376"/>
      <c r="H134" s="376"/>
      <c r="I134" s="376"/>
      <c r="J134" s="376"/>
      <c r="K134" s="376"/>
      <c r="L134" s="376"/>
      <c r="M134" s="376"/>
      <c r="N134" s="376"/>
      <c r="O134" s="376"/>
      <c r="P134" s="396"/>
      <c r="Q134" s="268">
        <f t="shared" si="51"/>
        <v>0</v>
      </c>
      <c r="R134" s="243">
        <f>+C134-Q134</f>
        <v>0</v>
      </c>
    </row>
    <row r="135" spans="1:22" ht="13.8" x14ac:dyDescent="0.25">
      <c r="A135" s="209"/>
      <c r="B135" s="305" t="s">
        <v>460</v>
      </c>
      <c r="C135" s="360">
        <v>100</v>
      </c>
      <c r="D135" s="376"/>
      <c r="E135" s="376"/>
      <c r="F135" s="376"/>
      <c r="G135" s="376"/>
      <c r="H135" s="376"/>
      <c r="I135" s="376"/>
      <c r="J135" s="376"/>
      <c r="K135" s="376"/>
      <c r="L135" s="376"/>
      <c r="M135" s="376"/>
      <c r="N135" s="376"/>
      <c r="O135" s="376">
        <v>100</v>
      </c>
      <c r="P135" s="396"/>
      <c r="Q135" s="268">
        <f t="shared" si="51"/>
        <v>100</v>
      </c>
      <c r="R135" s="243">
        <f>+C135-Q135</f>
        <v>0</v>
      </c>
    </row>
    <row r="136" spans="1:22" ht="13.8" x14ac:dyDescent="0.25">
      <c r="A136" s="266" t="s">
        <v>314</v>
      </c>
      <c r="B136" s="198"/>
      <c r="C136" s="318">
        <v>100</v>
      </c>
      <c r="D136" s="212">
        <f t="shared" ref="D136:L136" si="59">SUM(D132:D135)</f>
        <v>0</v>
      </c>
      <c r="E136" s="212">
        <f t="shared" si="59"/>
        <v>0</v>
      </c>
      <c r="F136" s="212">
        <f t="shared" si="59"/>
        <v>86.18</v>
      </c>
      <c r="G136" s="212">
        <f t="shared" si="59"/>
        <v>86.18</v>
      </c>
      <c r="H136" s="212">
        <f t="shared" si="59"/>
        <v>59.118998574930188</v>
      </c>
      <c r="I136" s="212">
        <f t="shared" si="59"/>
        <v>39.468995724790524</v>
      </c>
      <c r="J136" s="212">
        <f t="shared" si="59"/>
        <v>88.594002850139674</v>
      </c>
      <c r="K136" s="212">
        <f t="shared" si="59"/>
        <v>78.769001425069845</v>
      </c>
      <c r="L136" s="212">
        <f t="shared" si="59"/>
        <v>68.944000000000003</v>
      </c>
      <c r="M136" s="212">
        <f t="shared" ref="M136:O136" si="60">SUM(M132:M135)</f>
        <v>49.293997149860353</v>
      </c>
      <c r="N136" s="212">
        <f t="shared" si="60"/>
        <v>49.293997149860353</v>
      </c>
      <c r="O136" s="212">
        <f t="shared" si="60"/>
        <v>129.6439942997207</v>
      </c>
      <c r="P136" s="212">
        <f t="shared" ref="P136" si="61">SUM(P132:P135)</f>
        <v>0</v>
      </c>
      <c r="Q136" s="269">
        <f t="shared" si="51"/>
        <v>735.48698717437173</v>
      </c>
      <c r="R136" s="386">
        <f>+C136-Q136</f>
        <v>-635.48698717437173</v>
      </c>
      <c r="S136" s="114"/>
      <c r="U136" s="370">
        <v>0</v>
      </c>
      <c r="V136" s="210" t="e">
        <f>+U136/#REF!%</f>
        <v>#REF!</v>
      </c>
    </row>
    <row r="137" spans="1:22" ht="3.6" customHeight="1" x14ac:dyDescent="0.25"/>
    <row r="138" spans="1:22" x14ac:dyDescent="0.25">
      <c r="A138" s="15" t="s">
        <v>470</v>
      </c>
      <c r="C138" s="327">
        <f t="shared" ref="C138:P138" si="62">+C129+C123+C118+C108+C100+C94+C75+C54-C136</f>
        <v>90787.33</v>
      </c>
      <c r="D138" s="265">
        <f t="shared" si="62"/>
        <v>5033.58</v>
      </c>
      <c r="E138" s="252">
        <f t="shared" si="62"/>
        <v>2528.56</v>
      </c>
      <c r="F138" s="252">
        <f t="shared" si="62"/>
        <v>2396.21</v>
      </c>
      <c r="G138" s="265">
        <f t="shared" si="62"/>
        <v>3285.19</v>
      </c>
      <c r="H138" s="265">
        <f t="shared" si="62"/>
        <v>11831.241001425071</v>
      </c>
      <c r="I138" s="265">
        <f t="shared" si="62"/>
        <v>5757.8410042752103</v>
      </c>
      <c r="J138" s="265">
        <f t="shared" si="62"/>
        <v>5723.8579504831932</v>
      </c>
      <c r="K138" s="265">
        <f t="shared" si="62"/>
        <v>7742.07124857493</v>
      </c>
      <c r="L138" s="265">
        <f t="shared" si="62"/>
        <v>4940.8932624999998</v>
      </c>
      <c r="M138" s="265">
        <f t="shared" si="62"/>
        <v>8342.9136284751403</v>
      </c>
      <c r="N138" s="265">
        <f t="shared" si="62"/>
        <v>1536.8690097563897</v>
      </c>
      <c r="O138" s="265">
        <f t="shared" si="62"/>
        <v>9649.4933125713724</v>
      </c>
      <c r="P138" s="265">
        <f t="shared" si="62"/>
        <v>22451</v>
      </c>
      <c r="Q138" s="315">
        <f t="shared" si="51"/>
        <v>91219.720418061304</v>
      </c>
      <c r="R138" s="283">
        <f>+R129+R123+R118+R108+R100+R94+R75+R54-R136</f>
        <v>-432.3904180613049</v>
      </c>
      <c r="S138" s="15"/>
      <c r="U138" s="283">
        <f>+U129+U123+U118+U108+U100+U94+U75+U54-U136</f>
        <v>107849</v>
      </c>
      <c r="V138" s="374" t="e">
        <f>+U138/#REF!%</f>
        <v>#REF!</v>
      </c>
    </row>
    <row r="139" spans="1:22" x14ac:dyDescent="0.25">
      <c r="C139">
        <v>90787</v>
      </c>
      <c r="R139" s="210"/>
    </row>
    <row r="140" spans="1:22" x14ac:dyDescent="0.25">
      <c r="A140" t="s">
        <v>380</v>
      </c>
      <c r="D140" s="252">
        <f>31137.5</f>
        <v>31137.5</v>
      </c>
      <c r="J140" s="265">
        <f>62275/2</f>
        <v>31137.5</v>
      </c>
    </row>
    <row r="141" spans="1:22" ht="16.2" customHeight="1" x14ac:dyDescent="0.25">
      <c r="A141" s="15" t="s">
        <v>481</v>
      </c>
      <c r="D141" s="265">
        <f>+D140+C142-D138</f>
        <v>53558.92</v>
      </c>
      <c r="E141" s="252">
        <f>+E140+D141-E138</f>
        <v>51030.36</v>
      </c>
      <c r="F141" s="252">
        <f t="shared" ref="F141:O141" si="63">+F140+E141-F138</f>
        <v>48634.15</v>
      </c>
      <c r="G141" s="265">
        <f t="shared" si="63"/>
        <v>45348.959999999999</v>
      </c>
      <c r="H141" s="265">
        <f t="shared" si="63"/>
        <v>33517.718998574928</v>
      </c>
      <c r="I141" s="265">
        <f t="shared" si="63"/>
        <v>27759.877994299717</v>
      </c>
      <c r="J141" s="265">
        <f t="shared" si="63"/>
        <v>53173.520043816527</v>
      </c>
      <c r="K141" s="265">
        <f t="shared" si="63"/>
        <v>45431.448795241595</v>
      </c>
      <c r="L141" s="265">
        <f t="shared" si="63"/>
        <v>40490.555532741593</v>
      </c>
      <c r="M141" s="265">
        <f t="shared" si="63"/>
        <v>32147.641904266453</v>
      </c>
      <c r="N141" s="265">
        <f t="shared" si="63"/>
        <v>30610.772894510064</v>
      </c>
      <c r="O141" s="265">
        <f t="shared" si="63"/>
        <v>20961.279581938692</v>
      </c>
      <c r="P141" s="362"/>
      <c r="Q141" s="271"/>
      <c r="R141" s="243"/>
    </row>
    <row r="142" spans="1:22" ht="16.2" customHeight="1" outlineLevel="1" x14ac:dyDescent="0.25">
      <c r="A142" s="15" t="s">
        <v>490</v>
      </c>
      <c r="C142" s="252">
        <v>27455</v>
      </c>
      <c r="D142" s="252">
        <v>53559.32</v>
      </c>
      <c r="E142" s="252">
        <v>41030.83</v>
      </c>
      <c r="F142" s="252">
        <f t="shared" ref="F142:O142" si="64">+F141-F143</f>
        <v>13548.150000000001</v>
      </c>
      <c r="G142" s="243">
        <f t="shared" si="64"/>
        <v>10262.959999999999</v>
      </c>
      <c r="H142" s="243">
        <f t="shared" si="64"/>
        <v>3431.7189985749283</v>
      </c>
      <c r="I142" s="243">
        <f t="shared" si="64"/>
        <v>7673.8779942997171</v>
      </c>
      <c r="J142" s="243">
        <f t="shared" si="64"/>
        <v>8087.5200438165266</v>
      </c>
      <c r="K142" s="243">
        <f t="shared" si="64"/>
        <v>5345.4487952415948</v>
      </c>
      <c r="L142" s="243">
        <f t="shared" si="64"/>
        <v>5404.5555327415932</v>
      </c>
      <c r="M142" s="243">
        <f t="shared" si="64"/>
        <v>7061.6419042664529</v>
      </c>
      <c r="N142" s="243">
        <f t="shared" si="64"/>
        <v>5524.7728945100644</v>
      </c>
      <c r="O142" s="243">
        <f t="shared" si="64"/>
        <v>5875.279581938692</v>
      </c>
      <c r="Q142" s="271"/>
      <c r="R142" s="243"/>
    </row>
    <row r="143" spans="1:22" ht="16.2" customHeight="1" outlineLevel="1" x14ac:dyDescent="0.25">
      <c r="A143" s="15" t="s">
        <v>487</v>
      </c>
      <c r="C143" s="252"/>
      <c r="D143" s="252"/>
      <c r="E143" s="252">
        <v>10000</v>
      </c>
      <c r="F143" s="252">
        <v>35086</v>
      </c>
      <c r="G143" s="398">
        <v>35086</v>
      </c>
      <c r="H143" s="398">
        <v>30086</v>
      </c>
      <c r="I143" s="398">
        <v>20086</v>
      </c>
      <c r="J143" s="398">
        <v>45086</v>
      </c>
      <c r="K143" s="398">
        <v>40086</v>
      </c>
      <c r="L143" s="398">
        <v>35086</v>
      </c>
      <c r="M143" s="398">
        <v>25086</v>
      </c>
      <c r="N143" s="398">
        <v>25086</v>
      </c>
      <c r="O143" s="398">
        <v>15086</v>
      </c>
      <c r="Q143" s="271"/>
      <c r="R143" s="243"/>
    </row>
    <row r="144" spans="1:22" ht="16.2" customHeight="1" outlineLevel="1" x14ac:dyDescent="0.25">
      <c r="A144" s="15" t="s">
        <v>488</v>
      </c>
      <c r="C144" s="252"/>
      <c r="D144" s="252"/>
      <c r="E144" s="252">
        <f>SUM(E142:E143)</f>
        <v>51030.83</v>
      </c>
      <c r="F144" s="252">
        <f t="shared" ref="F144:P144" si="65">SUM(F142:F143)</f>
        <v>48634.15</v>
      </c>
      <c r="G144" s="243">
        <f t="shared" si="65"/>
        <v>45348.959999999999</v>
      </c>
      <c r="H144" s="243">
        <f t="shared" si="65"/>
        <v>33517.718998574928</v>
      </c>
      <c r="I144" s="243">
        <f t="shared" si="65"/>
        <v>27759.877994299717</v>
      </c>
      <c r="J144" s="243">
        <f t="shared" si="65"/>
        <v>53173.520043816527</v>
      </c>
      <c r="K144" s="243">
        <f t="shared" si="65"/>
        <v>45431.448795241595</v>
      </c>
      <c r="L144" s="243">
        <f t="shared" si="65"/>
        <v>40490.555532741593</v>
      </c>
      <c r="M144" s="243">
        <f t="shared" si="65"/>
        <v>32147.641904266453</v>
      </c>
      <c r="N144" s="243">
        <f t="shared" si="65"/>
        <v>30610.772894510064</v>
      </c>
      <c r="O144" s="243">
        <f t="shared" si="65"/>
        <v>20961.279581938692</v>
      </c>
      <c r="P144" s="243">
        <f t="shared" si="65"/>
        <v>0</v>
      </c>
      <c r="Q144" s="271"/>
      <c r="R144" s="243"/>
    </row>
    <row r="145" spans="1:21" ht="16.2" customHeight="1" outlineLevel="1" x14ac:dyDescent="0.25">
      <c r="A145" s="15" t="s">
        <v>491</v>
      </c>
      <c r="C145" s="252"/>
      <c r="D145" s="252"/>
      <c r="E145" s="399">
        <v>25000</v>
      </c>
      <c r="F145" s="399">
        <f>+F143-G143</f>
        <v>0</v>
      </c>
      <c r="G145" s="399">
        <f t="shared" ref="G145:O145" si="66">+G143-H143</f>
        <v>5000</v>
      </c>
      <c r="H145" s="399">
        <f t="shared" si="66"/>
        <v>10000</v>
      </c>
      <c r="I145" s="399">
        <v>0</v>
      </c>
      <c r="J145" s="399">
        <f t="shared" si="66"/>
        <v>5000</v>
      </c>
      <c r="K145" s="399">
        <f t="shared" si="66"/>
        <v>5000</v>
      </c>
      <c r="L145" s="399">
        <f t="shared" si="66"/>
        <v>10000</v>
      </c>
      <c r="M145" s="399">
        <f t="shared" si="66"/>
        <v>0</v>
      </c>
      <c r="N145" s="399">
        <f t="shared" si="66"/>
        <v>10000</v>
      </c>
      <c r="O145" s="399">
        <f t="shared" si="66"/>
        <v>15086</v>
      </c>
      <c r="Q145" s="271"/>
      <c r="R145" s="243"/>
    </row>
    <row r="146" spans="1:21" ht="16.2" customHeight="1" outlineLevel="1" x14ac:dyDescent="0.25">
      <c r="B146" s="15"/>
      <c r="J146" s="243"/>
      <c r="K146" s="243"/>
    </row>
    <row r="147" spans="1:21" ht="17.399999999999999" customHeight="1" x14ac:dyDescent="0.25">
      <c r="A147" s="15" t="s">
        <v>483</v>
      </c>
      <c r="B147" s="15"/>
      <c r="D147" s="252">
        <f>+C142-D141+D140</f>
        <v>5033.5800000000017</v>
      </c>
      <c r="E147" s="252">
        <f>+D142-E141+E140</f>
        <v>2528.9599999999991</v>
      </c>
      <c r="F147" s="252">
        <f>+E144-F141+F140</f>
        <v>2396.6800000000003</v>
      </c>
      <c r="J147" s="243"/>
      <c r="K147" s="243"/>
      <c r="N147" s="406"/>
      <c r="O147" s="406"/>
    </row>
    <row r="148" spans="1:21" x14ac:dyDescent="0.25">
      <c r="A148" s="15"/>
      <c r="B148" s="15"/>
      <c r="T148" s="77"/>
    </row>
    <row r="149" spans="1:21" x14ac:dyDescent="0.25">
      <c r="A149" s="15"/>
      <c r="B149" s="15"/>
      <c r="D149" s="243"/>
      <c r="T149" s="77"/>
    </row>
    <row r="150" spans="1:21" s="49" customFormat="1" ht="15.6" hidden="1" x14ac:dyDescent="0.25">
      <c r="A150" s="282" t="s">
        <v>183</v>
      </c>
      <c r="B150" s="62"/>
      <c r="C150" s="61"/>
      <c r="D150" s="61"/>
      <c r="E150" s="61"/>
      <c r="F150" s="61"/>
      <c r="G150" s="61"/>
      <c r="H150" s="61"/>
      <c r="I150" s="61"/>
      <c r="J150" s="63"/>
      <c r="K150" s="64"/>
      <c r="T150" s="77"/>
    </row>
    <row r="151" spans="1:21" s="77" customFormat="1" ht="13.8" hidden="1" x14ac:dyDescent="0.25">
      <c r="A151" s="155"/>
      <c r="B151" s="156"/>
      <c r="C151" s="157"/>
      <c r="D151" s="281" t="s">
        <v>234</v>
      </c>
      <c r="E151" s="157"/>
      <c r="F151" s="158" t="s">
        <v>170</v>
      </c>
      <c r="G151" s="158"/>
      <c r="H151" s="158" t="s">
        <v>122</v>
      </c>
      <c r="I151" s="158"/>
      <c r="J151" s="157"/>
      <c r="K151" s="159"/>
    </row>
    <row r="152" spans="1:21" s="77" customFormat="1" ht="13.8" hidden="1" x14ac:dyDescent="0.25">
      <c r="A152" s="160" t="s">
        <v>169</v>
      </c>
      <c r="B152" s="161"/>
      <c r="C152" s="162"/>
      <c r="D152" s="162"/>
      <c r="E152" s="162"/>
      <c r="F152" s="163">
        <v>49835.08</v>
      </c>
      <c r="G152" s="164"/>
      <c r="H152" s="164">
        <v>61.72</v>
      </c>
      <c r="I152" s="164"/>
      <c r="J152" s="162"/>
      <c r="K152" s="165"/>
    </row>
    <row r="153" spans="1:21" s="77" customFormat="1" ht="13.8" hidden="1" x14ac:dyDescent="0.25">
      <c r="A153" s="166"/>
      <c r="B153" s="161"/>
      <c r="C153" s="162"/>
      <c r="D153" s="162"/>
      <c r="E153" s="162"/>
      <c r="F153" s="167"/>
      <c r="G153" s="162"/>
      <c r="H153" s="162"/>
      <c r="I153" s="162"/>
      <c r="J153" s="162"/>
      <c r="K153" s="167"/>
    </row>
    <row r="154" spans="1:21" s="77" customFormat="1" ht="13.8" hidden="1" x14ac:dyDescent="0.25">
      <c r="A154" s="160" t="s">
        <v>320</v>
      </c>
      <c r="B154" s="161"/>
      <c r="C154" s="162"/>
      <c r="D154" s="162">
        <v>81812</v>
      </c>
      <c r="E154" s="162"/>
      <c r="F154" s="186">
        <v>54760</v>
      </c>
      <c r="G154" s="164"/>
      <c r="H154" s="173">
        <v>68.05</v>
      </c>
      <c r="I154" s="173"/>
      <c r="J154" s="162"/>
      <c r="K154" s="167"/>
    </row>
    <row r="155" spans="1:21" s="77" customFormat="1" ht="13.8" hidden="1" x14ac:dyDescent="0.25">
      <c r="A155" s="160"/>
      <c r="B155" s="161"/>
      <c r="C155" s="162"/>
      <c r="D155" s="162"/>
      <c r="E155" s="162"/>
      <c r="F155" s="167"/>
      <c r="G155" s="162"/>
      <c r="H155" s="162"/>
      <c r="I155" s="162"/>
      <c r="J155" s="162"/>
      <c r="K155" s="167"/>
    </row>
    <row r="156" spans="1:21" s="77" customFormat="1" ht="13.8" hidden="1" x14ac:dyDescent="0.25">
      <c r="A156" s="160" t="s">
        <v>321</v>
      </c>
      <c r="B156" s="162"/>
      <c r="C156" s="168"/>
      <c r="D156" s="162"/>
      <c r="E156" s="162"/>
      <c r="F156" s="169" t="s">
        <v>126</v>
      </c>
      <c r="G156" s="170"/>
      <c r="H156" s="170" t="s">
        <v>127</v>
      </c>
      <c r="I156" s="170"/>
      <c r="J156" s="162"/>
      <c r="K156" s="167"/>
    </row>
    <row r="157" spans="1:21" s="77" customFormat="1" hidden="1" x14ac:dyDescent="0.25">
      <c r="A157" s="171" t="s">
        <v>108</v>
      </c>
      <c r="B157" s="162"/>
      <c r="C157" s="162"/>
      <c r="D157" s="162"/>
      <c r="E157" s="162"/>
      <c r="F157" s="172">
        <f>+C138</f>
        <v>90787.33</v>
      </c>
      <c r="G157" s="162"/>
      <c r="H157" s="162"/>
      <c r="I157" s="162"/>
      <c r="J157" s="162"/>
      <c r="K157" s="167"/>
    </row>
    <row r="158" spans="1:21" s="77" customFormat="1" hidden="1" x14ac:dyDescent="0.25">
      <c r="A158" s="171" t="s">
        <v>322</v>
      </c>
      <c r="B158" s="162"/>
      <c r="C158" s="162"/>
      <c r="D158" s="162"/>
      <c r="E158" s="162"/>
      <c r="F158" s="172">
        <v>27529</v>
      </c>
      <c r="G158" s="162"/>
      <c r="H158" s="162"/>
      <c r="I158" s="162"/>
      <c r="J158" s="162"/>
      <c r="K158" s="167"/>
    </row>
    <row r="159" spans="1:21" s="77" customFormat="1" hidden="1" x14ac:dyDescent="0.25">
      <c r="A159" s="171" t="s">
        <v>407</v>
      </c>
      <c r="B159" s="162"/>
      <c r="C159" s="162"/>
      <c r="D159" s="162"/>
      <c r="E159" s="162"/>
      <c r="F159" s="163">
        <f>+F157-F158</f>
        <v>63258.33</v>
      </c>
      <c r="G159" s="164"/>
      <c r="H159" s="173">
        <f>+H154/F154*F159</f>
        <v>78.610835582541995</v>
      </c>
      <c r="I159" s="173"/>
      <c r="J159" s="162"/>
      <c r="K159" s="167"/>
      <c r="U159" s="178" t="e">
        <f>+H154/F154*#REF!</f>
        <v>#REF!</v>
      </c>
    </row>
    <row r="160" spans="1:21" s="77" customFormat="1" hidden="1" x14ac:dyDescent="0.25">
      <c r="A160" s="171" t="s">
        <v>25</v>
      </c>
      <c r="B160" s="162"/>
      <c r="C160" s="162"/>
      <c r="D160" s="162"/>
      <c r="E160" s="162"/>
      <c r="F160" s="167"/>
      <c r="G160" s="162"/>
      <c r="H160" s="168"/>
      <c r="I160" s="168"/>
      <c r="J160" s="162"/>
      <c r="K160" s="167"/>
    </row>
    <row r="161" spans="1:23" s="77" customFormat="1" hidden="1" x14ac:dyDescent="0.25">
      <c r="A161" s="171"/>
      <c r="B161" s="162"/>
      <c r="C161" s="162"/>
      <c r="D161" s="162"/>
      <c r="E161" s="162"/>
      <c r="F161" s="169" t="s">
        <v>126</v>
      </c>
      <c r="G161" s="170"/>
      <c r="H161" s="170" t="s">
        <v>127</v>
      </c>
      <c r="I161" s="170"/>
      <c r="J161" s="170"/>
      <c r="K161" s="169" t="s">
        <v>172</v>
      </c>
    </row>
    <row r="162" spans="1:23" s="77" customFormat="1" hidden="1" x14ac:dyDescent="0.25">
      <c r="A162" s="171" t="s">
        <v>409</v>
      </c>
      <c r="B162" s="162"/>
      <c r="C162" s="162"/>
      <c r="D162" s="162"/>
      <c r="E162" s="162"/>
      <c r="F162" s="163">
        <f>+F159-F154</f>
        <v>8498.3300000000017</v>
      </c>
      <c r="G162" s="164"/>
      <c r="H162" s="173">
        <f>+H159-H154</f>
        <v>10.560835582541998</v>
      </c>
      <c r="I162" s="173"/>
      <c r="J162" s="162"/>
      <c r="K162" s="174">
        <f>+H162/H154%</f>
        <v>15.51922936449963</v>
      </c>
      <c r="U162" s="178" t="e">
        <f>+U159-H154</f>
        <v>#REF!</v>
      </c>
      <c r="W162" s="178"/>
    </row>
    <row r="163" spans="1:23" s="77" customFormat="1" ht="7.8" hidden="1" customHeight="1" x14ac:dyDescent="0.25">
      <c r="A163" s="175" t="s">
        <v>167</v>
      </c>
      <c r="K163" s="93"/>
    </row>
    <row r="164" spans="1:23" s="77" customFormat="1" ht="13.8" hidden="1" x14ac:dyDescent="0.25">
      <c r="A164" s="176" t="s">
        <v>168</v>
      </c>
      <c r="B164" s="150"/>
      <c r="F164" s="78" t="s">
        <v>126</v>
      </c>
      <c r="H164" s="78" t="s">
        <v>122</v>
      </c>
      <c r="I164" s="78"/>
      <c r="K164" s="93"/>
    </row>
    <row r="165" spans="1:23" s="77" customFormat="1" ht="13.8" hidden="1" x14ac:dyDescent="0.25">
      <c r="A165" s="177" t="s">
        <v>65</v>
      </c>
      <c r="B165" s="150"/>
      <c r="F165" s="178">
        <v>49835.08</v>
      </c>
      <c r="H165" s="77">
        <v>61.72</v>
      </c>
      <c r="K165" s="93"/>
    </row>
    <row r="166" spans="1:23" s="77" customFormat="1" ht="13.8" hidden="1" x14ac:dyDescent="0.25">
      <c r="A166" s="177" t="s">
        <v>66</v>
      </c>
      <c r="B166" s="150"/>
      <c r="F166" s="178">
        <v>515.83000000000004</v>
      </c>
      <c r="K166" s="93"/>
    </row>
    <row r="167" spans="1:23" s="77" customFormat="1" ht="13.8" hidden="1" x14ac:dyDescent="0.25">
      <c r="A167" s="177" t="s">
        <v>68</v>
      </c>
      <c r="F167" s="178">
        <v>340</v>
      </c>
      <c r="K167" s="93"/>
    </row>
    <row r="168" spans="1:23" s="77" customFormat="1" ht="7.2" hidden="1" customHeight="1" x14ac:dyDescent="0.25">
      <c r="A168" s="177" t="s">
        <v>67</v>
      </c>
      <c r="F168" s="179">
        <v>38.71</v>
      </c>
      <c r="K168" s="93"/>
    </row>
    <row r="169" spans="1:23" s="77" customFormat="1" ht="12" hidden="1" customHeight="1" x14ac:dyDescent="0.25">
      <c r="A169" s="180"/>
      <c r="F169" s="178">
        <f>SUM(F165:F168)</f>
        <v>50729.62</v>
      </c>
      <c r="K169" s="93"/>
    </row>
    <row r="170" spans="1:23" s="77" customFormat="1" hidden="1" x14ac:dyDescent="0.25">
      <c r="A170" s="181" t="s">
        <v>484</v>
      </c>
      <c r="B170" s="182"/>
      <c r="C170" s="182"/>
      <c r="D170" s="182"/>
      <c r="E170" s="182"/>
      <c r="F170" s="341">
        <v>62275</v>
      </c>
      <c r="G170" s="182"/>
      <c r="H170" s="182"/>
      <c r="I170" s="182"/>
      <c r="J170" s="182"/>
      <c r="K170" s="183"/>
    </row>
    <row r="171" spans="1:23" ht="13.8" hidden="1" x14ac:dyDescent="0.25">
      <c r="A171" s="177" t="s">
        <v>404</v>
      </c>
      <c r="C171">
        <f>+D154</f>
        <v>81812</v>
      </c>
      <c r="D171" s="284">
        <f>+F157</f>
        <v>90787.33</v>
      </c>
      <c r="E171" s="284">
        <f>+D171-C171</f>
        <v>8975.3300000000017</v>
      </c>
    </row>
    <row r="172" spans="1:23" hidden="1" x14ac:dyDescent="0.25">
      <c r="A172" s="15"/>
    </row>
    <row r="173" spans="1:23" s="210" customFormat="1" hidden="1" x14ac:dyDescent="0.25">
      <c r="A173"/>
      <c r="B173"/>
      <c r="Q173" s="12"/>
      <c r="R173"/>
      <c r="S173"/>
      <c r="T173"/>
      <c r="U173"/>
      <c r="V173"/>
    </row>
    <row r="174" spans="1:23" hidden="1" x14ac:dyDescent="0.25"/>
    <row r="175" spans="1:23" s="210" customFormat="1" hidden="1" x14ac:dyDescent="0.25">
      <c r="A175" t="s">
        <v>414</v>
      </c>
      <c r="B175"/>
      <c r="C175"/>
      <c r="Q175" s="12"/>
      <c r="R175"/>
      <c r="S175"/>
      <c r="T175"/>
      <c r="U175"/>
      <c r="V175"/>
    </row>
    <row r="176" spans="1:23" hidden="1" x14ac:dyDescent="0.25"/>
    <row r="177" spans="2:3" hidden="1" x14ac:dyDescent="0.25"/>
    <row r="178" spans="2:3" hidden="1" x14ac:dyDescent="0.25"/>
    <row r="179" spans="2:3" hidden="1" x14ac:dyDescent="0.25"/>
    <row r="180" spans="2:3" hidden="1" x14ac:dyDescent="0.25"/>
    <row r="181" spans="2:3" hidden="1" x14ac:dyDescent="0.25"/>
    <row r="182" spans="2:3" hidden="1" x14ac:dyDescent="0.25">
      <c r="B182" s="15" t="s">
        <v>469</v>
      </c>
      <c r="C182" s="243">
        <v>62275</v>
      </c>
    </row>
    <row r="183" spans="2:3" hidden="1" x14ac:dyDescent="0.25">
      <c r="B183" s="15" t="s">
        <v>467</v>
      </c>
      <c r="C183" s="243">
        <f>+'25-26 Spend 26-27 budget'!Q146</f>
        <v>27472.390089333338</v>
      </c>
    </row>
    <row r="184" spans="2:3" hidden="1" x14ac:dyDescent="0.25">
      <c r="B184" s="15" t="s">
        <v>126</v>
      </c>
      <c r="C184" s="243">
        <f>SUM(C182:C183)</f>
        <v>89747.390089333334</v>
      </c>
    </row>
    <row r="185" spans="2:3" hidden="1" x14ac:dyDescent="0.25"/>
    <row r="186" spans="2:3" hidden="1" x14ac:dyDescent="0.25">
      <c r="B186" s="15" t="s">
        <v>466</v>
      </c>
      <c r="C186">
        <v>90787</v>
      </c>
    </row>
    <row r="187" spans="2:3" hidden="1" x14ac:dyDescent="0.25"/>
    <row r="188" spans="2:3" hidden="1" x14ac:dyDescent="0.25">
      <c r="B188" s="15" t="s">
        <v>468</v>
      </c>
      <c r="C188" s="243">
        <f>+C186-C184</f>
        <v>1039.6099106666661</v>
      </c>
    </row>
    <row r="189" spans="2:3" hidden="1" x14ac:dyDescent="0.25"/>
    <row r="190" spans="2:3" hidden="1" x14ac:dyDescent="0.25"/>
    <row r="208" spans="4:4" x14ac:dyDescent="0.25">
      <c r="D208" s="210">
        <v>1</v>
      </c>
    </row>
    <row r="209" spans="4:4" x14ac:dyDescent="0.25">
      <c r="D209" s="210">
        <v>2</v>
      </c>
    </row>
    <row r="210" spans="4:4" x14ac:dyDescent="0.25">
      <c r="D210" s="210">
        <v>3</v>
      </c>
    </row>
    <row r="211" spans="4:4" x14ac:dyDescent="0.25">
      <c r="D211" s="210">
        <v>4</v>
      </c>
    </row>
    <row r="212" spans="4:4" x14ac:dyDescent="0.25">
      <c r="D212" s="210">
        <v>5</v>
      </c>
    </row>
    <row r="213" spans="4:4" x14ac:dyDescent="0.25">
      <c r="D213" s="210">
        <v>6</v>
      </c>
    </row>
    <row r="214" spans="4:4" x14ac:dyDescent="0.25">
      <c r="D214" s="210">
        <v>7</v>
      </c>
    </row>
    <row r="215" spans="4:4" x14ac:dyDescent="0.25">
      <c r="D215" s="210">
        <v>8</v>
      </c>
    </row>
    <row r="216" spans="4:4" x14ac:dyDescent="0.25">
      <c r="D216" s="210">
        <v>9</v>
      </c>
    </row>
    <row r="217" spans="4:4" x14ac:dyDescent="0.25">
      <c r="D217" s="210">
        <v>10</v>
      </c>
    </row>
    <row r="218" spans="4:4" x14ac:dyDescent="0.25">
      <c r="D218" s="210">
        <v>11</v>
      </c>
    </row>
    <row r="219" spans="4:4" x14ac:dyDescent="0.25">
      <c r="D219" s="210">
        <v>12</v>
      </c>
    </row>
  </sheetData>
  <mergeCells count="2">
    <mergeCell ref="A56:B56"/>
    <mergeCell ref="A77:B77"/>
  </mergeCells>
  <conditionalFormatting sqref="R1:R149 K150:K170 R171:R1048576">
    <cfRule type="cellIs" dxfId="21" priority="2" operator="lessThan">
      <formula>-10</formula>
    </cfRule>
  </conditionalFormatting>
  <conditionalFormatting sqref="S84:S85">
    <cfRule type="cellIs" dxfId="20" priority="7" operator="equal">
      <formula>0</formula>
    </cfRule>
  </conditionalFormatting>
  <conditionalFormatting sqref="Y76:Z76">
    <cfRule type="cellIs" dxfId="19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4" orientation="landscape" r:id="rId1"/>
  <headerFooter>
    <oddFooter>Page &amp;P of &amp;N</oddFooter>
  </headerFooter>
  <rowBreaks count="1" manualBreakCount="1">
    <brk id="139" max="16383" man="1"/>
  </rowBreaks>
  <ignoredErrors>
    <ignoredError sqref="O35 Q8 Q36 Q23:Q34 Q38:Q44 Q97:Q99 Q103:Q107 Q111:Q117 Q122:Q137 Q10:Q19 Q6:Q7" formulaRange="1"/>
    <ignoredError sqref="Q35 Q37 Q138" formula="1" formulaRange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5C9F-BA0E-44A6-8D61-98EE1A098225}">
  <dimension ref="B1:B4"/>
  <sheetViews>
    <sheetView showGridLines="0" workbookViewId="0">
      <selection activeCell="I25" sqref="I25"/>
    </sheetView>
  </sheetViews>
  <sheetFormatPr defaultRowHeight="13.2" x14ac:dyDescent="0.25"/>
  <cols>
    <col min="9" max="9" width="32" customWidth="1"/>
  </cols>
  <sheetData>
    <row r="1" spans="2:2" x14ac:dyDescent="0.25">
      <c r="B1" t="s">
        <v>400</v>
      </c>
    </row>
    <row r="2" spans="2:2" x14ac:dyDescent="0.25">
      <c r="B2" t="s">
        <v>401</v>
      </c>
    </row>
    <row r="3" spans="2:2" x14ac:dyDescent="0.25">
      <c r="B3" t="s">
        <v>402</v>
      </c>
    </row>
    <row r="4" spans="2:2" x14ac:dyDescent="0.25">
      <c r="B4" t="s">
        <v>403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opLeftCell="A16" zoomScaleNormal="100" workbookViewId="0">
      <selection activeCell="A67" sqref="A67:XFD68"/>
    </sheetView>
  </sheetViews>
  <sheetFormatPr defaultColWidth="8.77734375" defaultRowHeight="13.2" x14ac:dyDescent="0.25"/>
  <cols>
    <col min="1" max="3" width="8.77734375" customWidth="1"/>
    <col min="4" max="4" width="10.44140625" bestFit="1" customWidth="1"/>
    <col min="5" max="5" width="8" bestFit="1" customWidth="1"/>
    <col min="6" max="6" width="8.77734375" customWidth="1"/>
    <col min="7" max="7" width="16.5546875" customWidth="1"/>
    <col min="8" max="8" width="2.44140625" customWidth="1"/>
    <col min="9" max="9" width="19.88671875" customWidth="1"/>
    <col min="10" max="11" width="28.6640625" customWidth="1"/>
  </cols>
  <sheetData>
    <row r="1" spans="1:14" ht="13.8" x14ac:dyDescent="0.25">
      <c r="F1" s="7"/>
      <c r="G1" s="8" t="s">
        <v>69</v>
      </c>
      <c r="H1" s="8"/>
      <c r="I1" s="8"/>
      <c r="K1" s="15"/>
      <c r="L1" s="12"/>
    </row>
    <row r="2" spans="1:14" ht="13.8" x14ac:dyDescent="0.25">
      <c r="F2" s="7"/>
      <c r="G2" s="8" t="s">
        <v>34</v>
      </c>
      <c r="H2" s="8"/>
      <c r="I2" s="8" t="s">
        <v>35</v>
      </c>
      <c r="J2" s="12"/>
      <c r="K2" s="12"/>
      <c r="L2" s="12"/>
    </row>
    <row r="3" spans="1:14" ht="13.8" x14ac:dyDescent="0.25">
      <c r="F3" s="7"/>
      <c r="G3" s="8" t="s">
        <v>63</v>
      </c>
      <c r="H3" s="8"/>
      <c r="I3" s="8" t="s">
        <v>61</v>
      </c>
      <c r="J3" s="12"/>
      <c r="K3" s="12"/>
      <c r="L3" s="12"/>
    </row>
    <row r="4" spans="1:14" ht="13.8" x14ac:dyDescent="0.25">
      <c r="A4" s="5" t="s">
        <v>14</v>
      </c>
      <c r="G4">
        <v>15000</v>
      </c>
      <c r="I4" s="6">
        <v>7283.44</v>
      </c>
      <c r="K4" s="6"/>
      <c r="M4" s="15"/>
    </row>
    <row r="5" spans="1:14" ht="15" x14ac:dyDescent="0.25">
      <c r="A5" s="5" t="s">
        <v>0</v>
      </c>
      <c r="B5" s="2"/>
      <c r="C5" s="2"/>
      <c r="I5" s="6">
        <v>2122.14</v>
      </c>
      <c r="K5" s="6"/>
      <c r="M5" s="15"/>
    </row>
    <row r="6" spans="1:14" ht="15" x14ac:dyDescent="0.25">
      <c r="A6" s="5" t="s">
        <v>1</v>
      </c>
      <c r="B6" s="2"/>
      <c r="C6" s="2"/>
      <c r="G6">
        <v>500</v>
      </c>
      <c r="I6" s="8">
        <v>672.06</v>
      </c>
      <c r="N6" s="15"/>
    </row>
    <row r="7" spans="1:14" ht="13.8" x14ac:dyDescent="0.25">
      <c r="A7" s="5" t="s">
        <v>12</v>
      </c>
      <c r="B7" s="5"/>
      <c r="C7" s="5"/>
      <c r="D7" s="5"/>
      <c r="E7" s="5"/>
      <c r="G7">
        <v>240</v>
      </c>
      <c r="I7">
        <v>240</v>
      </c>
    </row>
    <row r="8" spans="1:14" ht="13.8" x14ac:dyDescent="0.25">
      <c r="A8" s="5" t="s">
        <v>2</v>
      </c>
      <c r="B8" s="5"/>
      <c r="C8" s="5"/>
      <c r="D8" s="5"/>
      <c r="E8" s="5"/>
      <c r="G8">
        <v>7500</v>
      </c>
      <c r="I8" s="6">
        <v>6250</v>
      </c>
    </row>
    <row r="9" spans="1:14" ht="13.8" x14ac:dyDescent="0.25">
      <c r="A9" s="5" t="s">
        <v>3</v>
      </c>
      <c r="B9" s="5"/>
      <c r="C9" s="5"/>
      <c r="D9" s="5"/>
      <c r="E9" s="5"/>
      <c r="G9">
        <v>500</v>
      </c>
      <c r="I9">
        <v>30</v>
      </c>
    </row>
    <row r="10" spans="1:14" ht="13.8" x14ac:dyDescent="0.25">
      <c r="A10" s="5" t="s">
        <v>22</v>
      </c>
      <c r="B10" s="5"/>
      <c r="C10" s="5"/>
      <c r="D10" s="5"/>
      <c r="G10">
        <v>8500</v>
      </c>
      <c r="I10">
        <v>5410.26</v>
      </c>
    </row>
    <row r="11" spans="1:14" ht="13.8" x14ac:dyDescent="0.25">
      <c r="A11" s="5" t="s">
        <v>4</v>
      </c>
      <c r="B11" s="5"/>
      <c r="C11" s="5"/>
      <c r="D11" s="5"/>
      <c r="G11">
        <v>920.08</v>
      </c>
      <c r="I11">
        <v>958.16</v>
      </c>
    </row>
    <row r="12" spans="1:14" ht="13.8" x14ac:dyDescent="0.25">
      <c r="A12" s="5" t="s">
        <v>16</v>
      </c>
      <c r="B12" s="5"/>
      <c r="C12" s="5"/>
      <c r="D12" s="5"/>
      <c r="G12">
        <v>800</v>
      </c>
      <c r="I12">
        <v>0</v>
      </c>
    </row>
    <row r="13" spans="1:14" ht="13.8" x14ac:dyDescent="0.25">
      <c r="A13" s="5" t="s">
        <v>36</v>
      </c>
      <c r="B13" s="5"/>
      <c r="C13" s="5"/>
      <c r="D13" s="5"/>
      <c r="G13">
        <v>450</v>
      </c>
      <c r="I13" s="15">
        <v>252.99</v>
      </c>
    </row>
    <row r="14" spans="1:14" ht="13.8" x14ac:dyDescent="0.25">
      <c r="A14" s="5" t="s">
        <v>13</v>
      </c>
      <c r="B14" s="5"/>
      <c r="C14" s="5"/>
      <c r="D14" s="5"/>
      <c r="G14">
        <v>30</v>
      </c>
      <c r="I14">
        <v>30</v>
      </c>
    </row>
    <row r="15" spans="1:14" ht="13.8" x14ac:dyDescent="0.25">
      <c r="A15" s="5" t="s">
        <v>18</v>
      </c>
      <c r="B15" s="5"/>
      <c r="C15" s="5"/>
      <c r="D15" s="5"/>
      <c r="G15">
        <v>200</v>
      </c>
      <c r="I15" s="15" t="s">
        <v>37</v>
      </c>
    </row>
    <row r="16" spans="1:14" ht="13.8" x14ac:dyDescent="0.25">
      <c r="A16" s="5" t="s">
        <v>5</v>
      </c>
      <c r="B16" s="5"/>
      <c r="C16" s="5"/>
      <c r="D16" s="5"/>
      <c r="G16">
        <v>1500</v>
      </c>
      <c r="I16" s="15">
        <v>0</v>
      </c>
    </row>
    <row r="17" spans="1:11" ht="13.8" x14ac:dyDescent="0.25">
      <c r="A17" s="5" t="s">
        <v>6</v>
      </c>
      <c r="B17" s="5"/>
      <c r="C17" s="5"/>
      <c r="D17" s="5"/>
      <c r="G17">
        <v>0</v>
      </c>
      <c r="I17" s="15">
        <v>0</v>
      </c>
    </row>
    <row r="18" spans="1:11" ht="13.8" x14ac:dyDescent="0.25">
      <c r="A18" s="5" t="s">
        <v>7</v>
      </c>
      <c r="B18" s="5"/>
      <c r="C18" s="5"/>
      <c r="D18" s="5"/>
      <c r="E18" s="5"/>
      <c r="G18">
        <v>200</v>
      </c>
      <c r="I18" s="15">
        <v>0</v>
      </c>
    </row>
    <row r="19" spans="1:11" ht="13.8" x14ac:dyDescent="0.25">
      <c r="A19" s="5" t="s">
        <v>8</v>
      </c>
      <c r="B19" s="5"/>
      <c r="C19" s="5"/>
      <c r="D19" s="5"/>
      <c r="E19" s="5"/>
      <c r="G19">
        <v>75</v>
      </c>
      <c r="I19">
        <v>119</v>
      </c>
    </row>
    <row r="20" spans="1:11" ht="13.8" x14ac:dyDescent="0.25">
      <c r="A20" s="5" t="s">
        <v>11</v>
      </c>
      <c r="B20" s="5"/>
      <c r="C20" s="5"/>
      <c r="D20" s="5"/>
      <c r="E20" s="5"/>
      <c r="G20">
        <v>420</v>
      </c>
      <c r="I20" s="8">
        <v>504</v>
      </c>
    </row>
    <row r="21" spans="1:11" ht="13.8" x14ac:dyDescent="0.25">
      <c r="A21" s="5" t="s">
        <v>15</v>
      </c>
      <c r="B21" s="5"/>
      <c r="C21" s="5"/>
      <c r="D21" s="5"/>
      <c r="E21" s="5"/>
      <c r="G21">
        <v>250</v>
      </c>
      <c r="I21">
        <v>250</v>
      </c>
    </row>
    <row r="22" spans="1:11" ht="13.8" x14ac:dyDescent="0.25">
      <c r="A22" s="5" t="s">
        <v>9</v>
      </c>
      <c r="B22" s="5"/>
      <c r="C22" s="5"/>
      <c r="D22" s="5"/>
      <c r="E22" s="5"/>
      <c r="G22">
        <v>2000</v>
      </c>
      <c r="I22">
        <v>0</v>
      </c>
    </row>
    <row r="23" spans="1:11" ht="13.8" x14ac:dyDescent="0.25">
      <c r="A23" s="5" t="s">
        <v>10</v>
      </c>
      <c r="B23" s="5"/>
      <c r="C23" s="5"/>
      <c r="D23" s="5"/>
      <c r="E23" s="5"/>
      <c r="G23">
        <v>250</v>
      </c>
      <c r="I23">
        <v>0</v>
      </c>
    </row>
    <row r="24" spans="1:11" s="15" customFormat="1" ht="13.8" x14ac:dyDescent="0.25">
      <c r="A24" s="5" t="s">
        <v>33</v>
      </c>
      <c r="B24" s="5"/>
      <c r="C24" s="5"/>
      <c r="D24" s="5"/>
      <c r="E24" s="5"/>
      <c r="H24" s="19"/>
    </row>
    <row r="25" spans="1:11" s="15" customFormat="1" ht="13.8" x14ac:dyDescent="0.25">
      <c r="A25" s="5" t="s">
        <v>32</v>
      </c>
      <c r="B25" s="5"/>
      <c r="C25" s="5"/>
      <c r="D25" s="5"/>
      <c r="E25" s="5"/>
      <c r="G25" s="15">
        <v>5000</v>
      </c>
      <c r="H25" s="19"/>
      <c r="I25" s="15">
        <v>22.5</v>
      </c>
    </row>
    <row r="26" spans="1:11" ht="13.8" x14ac:dyDescent="0.25">
      <c r="A26" s="5" t="s">
        <v>23</v>
      </c>
      <c r="B26" s="5"/>
      <c r="C26" s="5"/>
      <c r="D26" s="5"/>
      <c r="E26" s="5"/>
      <c r="G26" s="15">
        <v>350</v>
      </c>
      <c r="I26" s="15">
        <v>180.42</v>
      </c>
    </row>
    <row r="27" spans="1:11" s="9" customFormat="1" ht="15" x14ac:dyDescent="0.25">
      <c r="A27" s="5" t="s">
        <v>17</v>
      </c>
      <c r="B27" s="1"/>
      <c r="C27" s="1"/>
      <c r="D27" s="1"/>
      <c r="E27" s="1"/>
      <c r="G27" s="15">
        <v>750</v>
      </c>
      <c r="I27" s="15">
        <v>0</v>
      </c>
    </row>
    <row r="28" spans="1:11" s="9" customFormat="1" ht="15" x14ac:dyDescent="0.25">
      <c r="A28" s="5" t="s">
        <v>19</v>
      </c>
      <c r="B28" s="1"/>
      <c r="C28" s="1"/>
      <c r="D28" s="1"/>
      <c r="E28" s="1"/>
      <c r="G28" s="15">
        <v>200</v>
      </c>
      <c r="H28" s="15"/>
      <c r="I28" s="30" t="s">
        <v>37</v>
      </c>
    </row>
    <row r="29" spans="1:11" ht="15" x14ac:dyDescent="0.25">
      <c r="A29" s="5" t="s">
        <v>24</v>
      </c>
      <c r="B29" s="2"/>
      <c r="C29" s="2"/>
      <c r="D29" s="2"/>
      <c r="E29" s="2"/>
      <c r="G29" s="15">
        <v>4000</v>
      </c>
      <c r="H29" s="15"/>
      <c r="I29" s="10">
        <v>595</v>
      </c>
      <c r="J29" s="15" t="s">
        <v>55</v>
      </c>
      <c r="K29" s="15"/>
    </row>
    <row r="30" spans="1:11" ht="15" x14ac:dyDescent="0.25">
      <c r="A30" s="5" t="s">
        <v>21</v>
      </c>
      <c r="B30" s="2"/>
      <c r="C30" s="2"/>
      <c r="D30" s="2"/>
      <c r="E30" s="2"/>
      <c r="G30" s="15">
        <v>500</v>
      </c>
      <c r="H30" s="15"/>
      <c r="I30" s="30" t="s">
        <v>38</v>
      </c>
    </row>
    <row r="31" spans="1:11" ht="15" x14ac:dyDescent="0.25">
      <c r="A31" s="5" t="s">
        <v>20</v>
      </c>
      <c r="B31" s="2"/>
      <c r="C31" s="2"/>
      <c r="D31" s="2"/>
      <c r="E31" s="2"/>
      <c r="G31" s="15">
        <v>500</v>
      </c>
      <c r="H31" s="15"/>
      <c r="I31">
        <v>0</v>
      </c>
    </row>
    <row r="32" spans="1:11" ht="15" x14ac:dyDescent="0.25">
      <c r="A32" s="5" t="s">
        <v>26</v>
      </c>
      <c r="B32" s="2"/>
      <c r="C32" s="2"/>
      <c r="D32" s="2"/>
      <c r="E32" s="2"/>
      <c r="G32" s="15">
        <v>200</v>
      </c>
      <c r="H32" s="15"/>
      <c r="I32">
        <v>0</v>
      </c>
    </row>
    <row r="33" spans="1:9" ht="15" x14ac:dyDescent="0.25">
      <c r="A33" s="5"/>
      <c r="B33" s="2"/>
      <c r="C33" s="2"/>
      <c r="D33" s="2"/>
      <c r="E33" s="15"/>
      <c r="G33" s="21">
        <f>SUM(G4:G32)</f>
        <v>50835.08</v>
      </c>
      <c r="H33" s="13"/>
      <c r="I33" s="32">
        <f>SUM(I4:I32)</f>
        <v>24919.97</v>
      </c>
    </row>
    <row r="34" spans="1:9" ht="15" x14ac:dyDescent="0.25">
      <c r="A34" s="14" t="s">
        <v>51</v>
      </c>
      <c r="B34" s="2"/>
      <c r="C34" s="2"/>
      <c r="D34" s="2"/>
      <c r="E34" s="2"/>
      <c r="H34" s="12"/>
    </row>
    <row r="35" spans="1:9" ht="15" x14ac:dyDescent="0.25">
      <c r="A35" s="31" t="s">
        <v>52</v>
      </c>
      <c r="B35" s="2"/>
      <c r="C35" s="2"/>
      <c r="D35" s="2"/>
      <c r="E35" s="2"/>
      <c r="H35" s="12"/>
    </row>
    <row r="36" spans="1:9" ht="15" x14ac:dyDescent="0.25">
      <c r="A36" s="31" t="s">
        <v>57</v>
      </c>
      <c r="B36" s="2"/>
      <c r="C36" s="2"/>
      <c r="D36" s="2"/>
      <c r="E36" s="2"/>
    </row>
    <row r="37" spans="1:9" ht="15" x14ac:dyDescent="0.25">
      <c r="A37" s="31" t="s">
        <v>56</v>
      </c>
      <c r="B37" s="2"/>
      <c r="C37" s="2"/>
      <c r="D37" s="2"/>
      <c r="E37" s="2"/>
    </row>
    <row r="38" spans="1:9" ht="15" x14ac:dyDescent="0.25">
      <c r="A38" s="31" t="s">
        <v>58</v>
      </c>
      <c r="B38" s="2"/>
      <c r="C38" s="2"/>
      <c r="D38" s="2"/>
      <c r="E38" s="2"/>
    </row>
    <row r="39" spans="1:9" ht="15" x14ac:dyDescent="0.25">
      <c r="A39" s="31" t="s">
        <v>59</v>
      </c>
      <c r="B39" s="2"/>
      <c r="C39" s="2"/>
      <c r="D39" s="2"/>
      <c r="E39" s="2"/>
    </row>
    <row r="40" spans="1:9" ht="15" x14ac:dyDescent="0.25">
      <c r="A40" s="5"/>
      <c r="B40" s="2"/>
      <c r="C40" s="2"/>
      <c r="D40" s="2"/>
      <c r="E40" s="2"/>
    </row>
    <row r="41" spans="1:9" ht="15" x14ac:dyDescent="0.25">
      <c r="A41" s="18" t="s">
        <v>31</v>
      </c>
      <c r="B41" s="2"/>
      <c r="C41" s="2"/>
      <c r="D41" s="2"/>
      <c r="E41" s="2"/>
    </row>
    <row r="42" spans="1:9" s="15" customFormat="1" ht="15" x14ac:dyDescent="0.25">
      <c r="A42" s="27" t="s">
        <v>27</v>
      </c>
      <c r="B42" s="1"/>
      <c r="C42" s="5"/>
      <c r="D42" s="1"/>
      <c r="E42" s="1"/>
      <c r="G42" s="15">
        <v>3500</v>
      </c>
      <c r="H42" s="20"/>
    </row>
    <row r="43" spans="1:9" s="15" customFormat="1" ht="15" x14ac:dyDescent="0.25">
      <c r="A43" s="5" t="s">
        <v>39</v>
      </c>
      <c r="B43" s="1"/>
      <c r="C43" s="5"/>
      <c r="D43" s="1"/>
      <c r="E43" s="1"/>
      <c r="G43" s="19"/>
      <c r="H43" s="20"/>
      <c r="I43" s="15">
        <v>3000</v>
      </c>
    </row>
    <row r="44" spans="1:9" s="15" customFormat="1" ht="15" x14ac:dyDescent="0.25">
      <c r="A44" s="5"/>
      <c r="B44" s="1"/>
      <c r="C44" s="5"/>
      <c r="D44" s="1"/>
      <c r="E44" s="1"/>
      <c r="H44" s="20"/>
    </row>
    <row r="45" spans="1:9" ht="15" x14ac:dyDescent="0.25">
      <c r="A45" s="27" t="s">
        <v>28</v>
      </c>
      <c r="B45" s="28"/>
      <c r="C45" s="2"/>
      <c r="D45" s="2"/>
      <c r="E45" s="2"/>
      <c r="G45">
        <v>3000</v>
      </c>
      <c r="H45" s="15"/>
    </row>
    <row r="46" spans="1:9" ht="15" x14ac:dyDescent="0.25">
      <c r="A46" s="5" t="s">
        <v>40</v>
      </c>
      <c r="B46" s="2"/>
      <c r="C46" s="2"/>
      <c r="D46" s="2"/>
      <c r="E46" s="2"/>
      <c r="H46" s="15"/>
    </row>
    <row r="47" spans="1:9" ht="15" x14ac:dyDescent="0.25">
      <c r="A47" s="5" t="s">
        <v>42</v>
      </c>
      <c r="B47" s="2"/>
      <c r="C47" s="2"/>
      <c r="D47" s="2"/>
      <c r="E47" s="2"/>
      <c r="H47" s="15"/>
      <c r="I47">
        <v>170</v>
      </c>
    </row>
    <row r="48" spans="1:9" ht="15" x14ac:dyDescent="0.25">
      <c r="A48" s="5"/>
      <c r="B48" s="2"/>
      <c r="C48" s="2"/>
      <c r="D48" s="2"/>
      <c r="E48" s="2"/>
      <c r="H48" s="15"/>
    </row>
    <row r="49" spans="1:9" ht="15" x14ac:dyDescent="0.25">
      <c r="A49" s="27" t="s">
        <v>30</v>
      </c>
      <c r="B49" s="2"/>
      <c r="C49" s="2"/>
      <c r="D49" s="2"/>
      <c r="E49" s="2"/>
      <c r="G49">
        <v>4000</v>
      </c>
      <c r="H49" s="15"/>
    </row>
    <row r="50" spans="1:9" ht="15" x14ac:dyDescent="0.25">
      <c r="A50" s="22"/>
      <c r="B50" s="2"/>
      <c r="C50" s="2"/>
      <c r="D50" s="2"/>
      <c r="E50" s="2"/>
      <c r="H50" s="15"/>
    </row>
    <row r="51" spans="1:9" ht="15" x14ac:dyDescent="0.25">
      <c r="A51" s="27" t="s">
        <v>29</v>
      </c>
      <c r="B51" s="2"/>
      <c r="C51" s="2"/>
      <c r="D51" s="2"/>
      <c r="E51" s="2"/>
      <c r="G51">
        <v>10000</v>
      </c>
      <c r="H51" s="19"/>
    </row>
    <row r="52" spans="1:9" ht="15" x14ac:dyDescent="0.25">
      <c r="A52" s="24" t="s">
        <v>41</v>
      </c>
      <c r="B52" s="2"/>
      <c r="C52" s="2"/>
      <c r="D52" s="2"/>
      <c r="E52" s="2"/>
      <c r="H52" s="19"/>
      <c r="I52" s="6">
        <v>5000</v>
      </c>
    </row>
    <row r="53" spans="1:9" ht="15" x14ac:dyDescent="0.25">
      <c r="A53" s="23" t="s">
        <v>53</v>
      </c>
      <c r="B53" s="25"/>
      <c r="C53" s="25"/>
      <c r="D53" s="25"/>
      <c r="E53" s="25"/>
      <c r="H53" s="19"/>
    </row>
    <row r="54" spans="1:9" ht="15" x14ac:dyDescent="0.25">
      <c r="A54" s="23" t="s">
        <v>43</v>
      </c>
      <c r="B54" s="25"/>
      <c r="C54" s="25"/>
      <c r="D54" s="25"/>
      <c r="E54" s="25"/>
      <c r="H54" s="19"/>
    </row>
    <row r="55" spans="1:9" ht="15.6" x14ac:dyDescent="0.3">
      <c r="A55" s="23" t="s">
        <v>44</v>
      </c>
      <c r="B55" s="25"/>
      <c r="C55" s="25"/>
      <c r="D55" s="26"/>
      <c r="E55" s="25"/>
      <c r="H55" s="12"/>
    </row>
    <row r="56" spans="1:9" ht="15" x14ac:dyDescent="0.25">
      <c r="A56" s="23" t="s">
        <v>47</v>
      </c>
      <c r="B56" s="25"/>
      <c r="C56" s="25"/>
      <c r="D56" s="25"/>
      <c r="E56" s="25"/>
    </row>
    <row r="57" spans="1:9" ht="15" x14ac:dyDescent="0.25">
      <c r="A57" s="23" t="s">
        <v>45</v>
      </c>
      <c r="B57" s="25"/>
      <c r="C57" s="25"/>
      <c r="D57" s="25"/>
      <c r="E57" s="25"/>
    </row>
    <row r="58" spans="1:9" ht="15" x14ac:dyDescent="0.25">
      <c r="A58" s="23" t="s">
        <v>46</v>
      </c>
      <c r="B58" s="25"/>
      <c r="C58" s="25"/>
      <c r="D58" s="25"/>
      <c r="E58" s="25"/>
    </row>
    <row r="59" spans="1:9" ht="15.6" x14ac:dyDescent="0.3">
      <c r="A59" s="23" t="s">
        <v>48</v>
      </c>
      <c r="B59" s="3"/>
      <c r="C59" s="2"/>
      <c r="D59" s="2"/>
      <c r="E59" s="2"/>
      <c r="F59" s="6"/>
      <c r="G59" s="17"/>
    </row>
    <row r="60" spans="1:9" ht="15.6" x14ac:dyDescent="0.3">
      <c r="A60" s="16"/>
      <c r="C60" s="1"/>
      <c r="E60" s="9"/>
    </row>
    <row r="61" spans="1:9" ht="10.8" customHeight="1" x14ac:dyDescent="0.25">
      <c r="A61" s="5" t="s">
        <v>49</v>
      </c>
      <c r="C61" s="1"/>
    </row>
    <row r="62" spans="1:9" ht="10.8" customHeight="1" x14ac:dyDescent="0.25">
      <c r="A62" s="5" t="s">
        <v>50</v>
      </c>
      <c r="C62" s="1"/>
      <c r="I62">
        <v>92.94</v>
      </c>
    </row>
    <row r="63" spans="1:9" ht="13.8" x14ac:dyDescent="0.25">
      <c r="A63" s="5"/>
      <c r="F63" s="6"/>
    </row>
    <row r="64" spans="1:9" ht="13.8" x14ac:dyDescent="0.25">
      <c r="A64" s="5" t="s">
        <v>54</v>
      </c>
      <c r="F64" s="10"/>
      <c r="I64" s="29">
        <v>200</v>
      </c>
    </row>
    <row r="65" spans="1:9" ht="13.8" x14ac:dyDescent="0.25">
      <c r="A65" s="5"/>
      <c r="E65" s="9"/>
      <c r="F65" s="10"/>
      <c r="I65" s="6"/>
    </row>
    <row r="66" spans="1:9" ht="13.8" x14ac:dyDescent="0.25">
      <c r="A66" s="5"/>
      <c r="D66" s="12" t="s">
        <v>60</v>
      </c>
      <c r="E66" s="9"/>
      <c r="F66" s="10"/>
      <c r="I66" s="33">
        <v>33129.919999999998</v>
      </c>
    </row>
    <row r="67" spans="1:9" ht="13.8" x14ac:dyDescent="0.25">
      <c r="A67" s="5"/>
      <c r="E67" s="13"/>
      <c r="F67" s="10"/>
    </row>
    <row r="68" spans="1:9" ht="13.8" x14ac:dyDescent="0.25">
      <c r="A68" s="18" t="s">
        <v>64</v>
      </c>
      <c r="E68" s="13"/>
      <c r="F68" s="10"/>
    </row>
    <row r="69" spans="1:9" ht="13.8" x14ac:dyDescent="0.25">
      <c r="A69" s="5"/>
      <c r="E69" s="13"/>
      <c r="F69" s="10"/>
    </row>
    <row r="70" spans="1:9" ht="13.8" x14ac:dyDescent="0.25">
      <c r="A70" s="5" t="s">
        <v>65</v>
      </c>
      <c r="E70" s="13"/>
      <c r="F70" s="10"/>
      <c r="G70">
        <v>49835.08</v>
      </c>
    </row>
    <row r="71" spans="1:9" ht="13.8" x14ac:dyDescent="0.25">
      <c r="A71" s="5" t="s">
        <v>66</v>
      </c>
      <c r="C71" s="12"/>
      <c r="E71" s="10"/>
      <c r="F71" s="10"/>
      <c r="G71">
        <v>515.83000000000004</v>
      </c>
    </row>
    <row r="72" spans="1:9" ht="13.8" x14ac:dyDescent="0.25">
      <c r="A72" s="5" t="s">
        <v>68</v>
      </c>
      <c r="G72">
        <v>340</v>
      </c>
    </row>
    <row r="73" spans="1:9" ht="13.8" x14ac:dyDescent="0.25">
      <c r="A73" s="5" t="s">
        <v>67</v>
      </c>
      <c r="G73" s="13">
        <v>38.71</v>
      </c>
    </row>
    <row r="74" spans="1:9" ht="14.4" x14ac:dyDescent="0.3">
      <c r="A74" s="11"/>
      <c r="E74" s="6"/>
      <c r="G74">
        <f>SUM(G70:G73)</f>
        <v>50729.62</v>
      </c>
    </row>
    <row r="75" spans="1:9" x14ac:dyDescent="0.25">
      <c r="A75" s="15" t="s">
        <v>25</v>
      </c>
    </row>
    <row r="76" spans="1:9" x14ac:dyDescent="0.25">
      <c r="A76" s="15" t="s">
        <v>25</v>
      </c>
    </row>
    <row r="77" spans="1:9" x14ac:dyDescent="0.25">
      <c r="A77" s="15" t="s">
        <v>25</v>
      </c>
    </row>
    <row r="78" spans="1:9" x14ac:dyDescent="0.25">
      <c r="A78" s="15" t="s">
        <v>25</v>
      </c>
    </row>
    <row r="79" spans="1:9" x14ac:dyDescent="0.25">
      <c r="A79" s="15" t="s">
        <v>25</v>
      </c>
    </row>
    <row r="109" spans="1:7" x14ac:dyDescent="0.25">
      <c r="G109" s="4"/>
    </row>
    <row r="111" spans="1:7" s="4" customFormat="1" x14ac:dyDescent="0.25">
      <c r="A111"/>
      <c r="B111"/>
      <c r="C111"/>
      <c r="D111"/>
      <c r="E111"/>
      <c r="F111"/>
      <c r="G111"/>
    </row>
  </sheetData>
  <phoneticPr fontId="0" type="noConversion"/>
  <printOptions gridLines="1"/>
  <pageMargins left="0.74803149606299213" right="0.74803149606299213" top="0.59055118110236227" bottom="0.19685039370078741" header="0.51181102362204722" footer="0.51181102362204722"/>
  <pageSetup paperSize="9" orientation="landscape" r:id="rId1"/>
  <headerFooter alignWithMargins="0">
    <oddHeader>&amp;A</oddHeader>
    <oddFooter>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E705-49E9-409C-9B4B-B30BB8A0E8ED}">
  <dimension ref="A1:H35"/>
  <sheetViews>
    <sheetView workbookViewId="0">
      <selection activeCell="H19" sqref="H19"/>
    </sheetView>
  </sheetViews>
  <sheetFormatPr defaultRowHeight="14.4" x14ac:dyDescent="0.3"/>
  <cols>
    <col min="1" max="6" width="8.88671875" style="34"/>
    <col min="7" max="7" width="9.109375" style="34" bestFit="1" customWidth="1"/>
    <col min="8" max="16384" width="8.88671875" style="34"/>
  </cols>
  <sheetData>
    <row r="1" spans="1:8" x14ac:dyDescent="0.3">
      <c r="A1" s="52" t="s">
        <v>110</v>
      </c>
      <c r="D1" s="35"/>
    </row>
    <row r="3" spans="1:8" x14ac:dyDescent="0.3">
      <c r="A3" s="35" t="s">
        <v>70</v>
      </c>
    </row>
    <row r="5" spans="1:8" x14ac:dyDescent="0.3">
      <c r="A5" s="34" t="s">
        <v>71</v>
      </c>
      <c r="G5" s="36">
        <v>40828.71</v>
      </c>
    </row>
    <row r="7" spans="1:8" x14ac:dyDescent="0.3">
      <c r="A7" s="35" t="s">
        <v>72</v>
      </c>
    </row>
    <row r="8" spans="1:8" x14ac:dyDescent="0.3">
      <c r="A8" s="34" t="s">
        <v>73</v>
      </c>
      <c r="E8" s="36">
        <v>2402.7600000000002</v>
      </c>
    </row>
    <row r="9" spans="1:8" x14ac:dyDescent="0.3">
      <c r="A9" s="34" t="s">
        <v>74</v>
      </c>
      <c r="E9" s="37">
        <v>30</v>
      </c>
      <c r="G9" s="38">
        <v>2432.7600000000002</v>
      </c>
    </row>
    <row r="10" spans="1:8" x14ac:dyDescent="0.3">
      <c r="G10" s="36">
        <v>38395.949999999997</v>
      </c>
    </row>
    <row r="11" spans="1:8" x14ac:dyDescent="0.3">
      <c r="A11" s="39" t="s">
        <v>75</v>
      </c>
    </row>
    <row r="13" spans="1:8" x14ac:dyDescent="0.3">
      <c r="A13" s="34" t="s">
        <v>14</v>
      </c>
      <c r="E13" s="46">
        <v>1389</v>
      </c>
      <c r="H13" s="54" t="s">
        <v>132</v>
      </c>
    </row>
    <row r="14" spans="1:8" x14ac:dyDescent="0.3">
      <c r="A14" s="34" t="s">
        <v>1</v>
      </c>
      <c r="E14" s="34">
        <v>75</v>
      </c>
      <c r="H14" s="45" t="s">
        <v>105</v>
      </c>
    </row>
    <row r="15" spans="1:8" x14ac:dyDescent="0.3">
      <c r="A15" s="34" t="s">
        <v>76</v>
      </c>
      <c r="E15" s="46">
        <v>1250</v>
      </c>
      <c r="H15" s="54" t="s">
        <v>143</v>
      </c>
    </row>
    <row r="16" spans="1:8" x14ac:dyDescent="0.3">
      <c r="E16" s="46"/>
      <c r="H16" s="54"/>
    </row>
    <row r="17" spans="1:8" x14ac:dyDescent="0.3">
      <c r="A17" s="55" t="s">
        <v>138</v>
      </c>
      <c r="E17" s="46">
        <v>400</v>
      </c>
      <c r="H17" s="44" t="s">
        <v>103</v>
      </c>
    </row>
    <row r="18" spans="1:8" x14ac:dyDescent="0.3">
      <c r="A18" s="34" t="s">
        <v>77</v>
      </c>
      <c r="E18" s="45">
        <v>250</v>
      </c>
    </row>
    <row r="19" spans="1:8" x14ac:dyDescent="0.3">
      <c r="A19" s="34" t="s">
        <v>78</v>
      </c>
      <c r="E19" s="46">
        <v>1500</v>
      </c>
    </row>
    <row r="20" spans="1:8" x14ac:dyDescent="0.3">
      <c r="A20" s="34" t="s">
        <v>79</v>
      </c>
      <c r="E20" s="46">
        <v>200</v>
      </c>
    </row>
    <row r="21" spans="1:8" x14ac:dyDescent="0.3">
      <c r="A21" s="34" t="s">
        <v>20</v>
      </c>
      <c r="E21" s="46">
        <v>500</v>
      </c>
    </row>
    <row r="22" spans="1:8" x14ac:dyDescent="0.3">
      <c r="A22" s="34" t="s">
        <v>80</v>
      </c>
      <c r="E22" s="40"/>
      <c r="H22" s="54" t="s">
        <v>137</v>
      </c>
    </row>
    <row r="23" spans="1:8" x14ac:dyDescent="0.3">
      <c r="A23" s="34" t="s">
        <v>81</v>
      </c>
      <c r="E23" s="46">
        <v>500</v>
      </c>
      <c r="H23" s="45" t="s">
        <v>102</v>
      </c>
    </row>
    <row r="24" spans="1:8" x14ac:dyDescent="0.3">
      <c r="A24" s="34" t="s">
        <v>82</v>
      </c>
      <c r="E24" s="40">
        <v>70</v>
      </c>
      <c r="H24" s="45" t="s">
        <v>104</v>
      </c>
    </row>
    <row r="25" spans="1:8" x14ac:dyDescent="0.3">
      <c r="A25" s="34" t="s">
        <v>83</v>
      </c>
      <c r="E25" s="41">
        <v>70</v>
      </c>
      <c r="G25" s="42">
        <v>-6364</v>
      </c>
      <c r="H25" s="45" t="s">
        <v>104</v>
      </c>
    </row>
    <row r="26" spans="1:8" x14ac:dyDescent="0.3">
      <c r="G26" s="43">
        <v>32031.95</v>
      </c>
    </row>
    <row r="29" spans="1:8" x14ac:dyDescent="0.3">
      <c r="A29" s="35" t="s">
        <v>84</v>
      </c>
    </row>
    <row r="31" spans="1:8" x14ac:dyDescent="0.3">
      <c r="A31" s="34" t="s">
        <v>85</v>
      </c>
    </row>
    <row r="32" spans="1:8" x14ac:dyDescent="0.3">
      <c r="A32" s="34" t="s">
        <v>86</v>
      </c>
    </row>
    <row r="33" spans="1:1" x14ac:dyDescent="0.3">
      <c r="A33" s="34" t="s">
        <v>87</v>
      </c>
    </row>
    <row r="34" spans="1:1" x14ac:dyDescent="0.3">
      <c r="A34" s="34" t="s">
        <v>88</v>
      </c>
    </row>
    <row r="35" spans="1:1" x14ac:dyDescent="0.3">
      <c r="A35" s="34" t="s">
        <v>89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F8A9-0FE5-4755-924D-7DD11A44495B}">
  <dimension ref="A1:B6"/>
  <sheetViews>
    <sheetView showGridLines="0" workbookViewId="0">
      <selection activeCell="B7" sqref="B7"/>
    </sheetView>
  </sheetViews>
  <sheetFormatPr defaultRowHeight="13.2" x14ac:dyDescent="0.25"/>
  <cols>
    <col min="2" max="2" width="61" customWidth="1"/>
  </cols>
  <sheetData>
    <row r="1" spans="1:2" x14ac:dyDescent="0.25">
      <c r="A1" s="15" t="s">
        <v>90</v>
      </c>
    </row>
    <row r="2" spans="1:2" x14ac:dyDescent="0.25">
      <c r="B2" s="15" t="s">
        <v>91</v>
      </c>
    </row>
    <row r="6" spans="1:2" x14ac:dyDescent="0.25">
      <c r="B6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1278-C37E-46B8-A59A-5A765B3174BF}">
  <dimension ref="B1:D13"/>
  <sheetViews>
    <sheetView showGridLines="0" workbookViewId="0">
      <selection activeCell="E24" sqref="E24"/>
    </sheetView>
  </sheetViews>
  <sheetFormatPr defaultRowHeight="13.2" x14ac:dyDescent="0.25"/>
  <cols>
    <col min="1" max="1" width="3" customWidth="1"/>
    <col min="2" max="2" width="13.77734375" customWidth="1"/>
    <col min="3" max="3" width="11.88671875" customWidth="1"/>
  </cols>
  <sheetData>
    <row r="1" spans="2:4" x14ac:dyDescent="0.25">
      <c r="B1" t="s">
        <v>115</v>
      </c>
    </row>
    <row r="2" spans="2:4" x14ac:dyDescent="0.25">
      <c r="B2" s="53" t="s">
        <v>116</v>
      </c>
      <c r="C2" s="51">
        <v>82.16</v>
      </c>
      <c r="D2" s="15" t="s">
        <v>122</v>
      </c>
    </row>
    <row r="3" spans="2:4" x14ac:dyDescent="0.25">
      <c r="B3" s="53" t="s">
        <v>117</v>
      </c>
      <c r="C3" s="51">
        <v>61.72</v>
      </c>
      <c r="D3" s="15" t="s">
        <v>118</v>
      </c>
    </row>
    <row r="4" spans="2:4" x14ac:dyDescent="0.25">
      <c r="B4" s="53" t="s">
        <v>119</v>
      </c>
      <c r="C4" s="51">
        <v>49835.08</v>
      </c>
    </row>
    <row r="7" spans="2:4" x14ac:dyDescent="0.25">
      <c r="B7" s="15" t="s">
        <v>128</v>
      </c>
    </row>
    <row r="8" spans="2:4" x14ac:dyDescent="0.25">
      <c r="B8" s="53" t="s">
        <v>121</v>
      </c>
      <c r="C8" s="51">
        <v>40.42</v>
      </c>
    </row>
    <row r="9" spans="2:4" x14ac:dyDescent="0.25">
      <c r="B9" s="53" t="s">
        <v>120</v>
      </c>
      <c r="C9" s="51">
        <v>48.49</v>
      </c>
    </row>
    <row r="10" spans="2:4" x14ac:dyDescent="0.25">
      <c r="B10" s="53" t="s">
        <v>117</v>
      </c>
      <c r="C10" s="51">
        <v>61.72</v>
      </c>
    </row>
    <row r="11" spans="2:4" x14ac:dyDescent="0.25">
      <c r="B11" s="53" t="s">
        <v>125</v>
      </c>
      <c r="C11" s="51">
        <v>73.67</v>
      </c>
    </row>
    <row r="12" spans="2:4" x14ac:dyDescent="0.25">
      <c r="B12" s="53" t="s">
        <v>123</v>
      </c>
      <c r="C12" s="51">
        <v>82.18</v>
      </c>
    </row>
    <row r="13" spans="2:4" x14ac:dyDescent="0.25">
      <c r="B13" s="53" t="s">
        <v>124</v>
      </c>
      <c r="C13" s="51">
        <v>145.12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61F3-D1EC-4A5D-885A-B2E959AF56DF}">
  <sheetPr>
    <tabColor theme="0" tint="-0.14999847407452621"/>
  </sheetPr>
  <dimension ref="A1:M113"/>
  <sheetViews>
    <sheetView showGridLines="0" zoomScaleNormal="100" workbookViewId="0">
      <pane xSplit="1" ySplit="2" topLeftCell="B73" activePane="bottomRight" state="frozenSplit"/>
      <selection pane="topRight" activeCell="B1" sqref="B1"/>
      <selection pane="bottomLeft" activeCell="A4" sqref="A4"/>
      <selection pane="bottomRight" activeCell="G85" sqref="G85"/>
    </sheetView>
  </sheetViews>
  <sheetFormatPr defaultColWidth="8.77734375" defaultRowHeight="13.2" outlineLevelCol="1" x14ac:dyDescent="0.25"/>
  <cols>
    <col min="1" max="1" width="63.33203125" style="77" customWidth="1"/>
    <col min="2" max="2" width="8.77734375" style="77" customWidth="1"/>
    <col min="3" max="3" width="9.109375" style="77" customWidth="1"/>
    <col min="4" max="4" width="2.44140625" style="77" customWidth="1"/>
    <col min="5" max="5" width="10.44140625" style="77" customWidth="1" outlineLevel="1"/>
    <col min="6" max="6" width="8.33203125" style="77" customWidth="1" outlineLevel="1"/>
    <col min="7" max="7" width="9" style="77" customWidth="1"/>
    <col min="8" max="8" width="2.88671875" style="77" customWidth="1"/>
    <col min="9" max="9" width="10.44140625" style="77" bestFit="1" customWidth="1"/>
    <col min="10" max="10" width="2.44140625" style="77" customWidth="1"/>
    <col min="11" max="11" width="8.5546875" style="93" customWidth="1"/>
    <col min="12" max="12" width="10.44140625" style="77" bestFit="1" customWidth="1"/>
    <col min="13" max="13" width="89.6640625" style="49" customWidth="1"/>
    <col min="14" max="16384" width="8.77734375" style="77"/>
  </cols>
  <sheetData>
    <row r="1" spans="1:13" x14ac:dyDescent="0.25">
      <c r="A1" s="76"/>
      <c r="C1" s="408" t="s">
        <v>96</v>
      </c>
      <c r="D1" s="408"/>
      <c r="E1" s="408"/>
      <c r="F1" s="408"/>
      <c r="G1" s="408"/>
      <c r="H1" s="78"/>
      <c r="I1" s="79" t="s">
        <v>62</v>
      </c>
      <c r="K1" s="80" t="s">
        <v>99</v>
      </c>
      <c r="L1" s="81" t="s">
        <v>100</v>
      </c>
      <c r="M1" s="47" t="s">
        <v>163</v>
      </c>
    </row>
    <row r="2" spans="1:13" s="49" customFormat="1" ht="39.6" x14ac:dyDescent="0.25">
      <c r="A2" s="47" t="s">
        <v>184</v>
      </c>
      <c r="B2" s="48"/>
      <c r="C2" s="47" t="s">
        <v>94</v>
      </c>
      <c r="D2" s="47"/>
      <c r="E2" s="47" t="s">
        <v>95</v>
      </c>
      <c r="F2" s="47" t="s">
        <v>97</v>
      </c>
      <c r="G2" s="47" t="s">
        <v>111</v>
      </c>
      <c r="H2" s="47"/>
      <c r="I2" s="47" t="s">
        <v>98</v>
      </c>
      <c r="K2" s="50" t="s">
        <v>130</v>
      </c>
      <c r="L2" s="47" t="s">
        <v>131</v>
      </c>
      <c r="M2" s="49">
        <f>+M16*0.15</f>
        <v>913.8</v>
      </c>
    </row>
    <row r="3" spans="1:13" s="49" customFormat="1" ht="15.6" x14ac:dyDescent="0.25">
      <c r="A3" s="65" t="s">
        <v>182</v>
      </c>
      <c r="B3" s="62"/>
      <c r="C3" s="61"/>
      <c r="D3" s="61"/>
      <c r="E3" s="61"/>
      <c r="F3" s="61"/>
      <c r="G3" s="61"/>
      <c r="H3" s="61"/>
      <c r="I3" s="61"/>
      <c r="J3" s="63"/>
      <c r="K3" s="64"/>
      <c r="L3" s="61"/>
      <c r="M3" s="63"/>
    </row>
    <row r="4" spans="1:13" s="49" customFormat="1" ht="13.8" x14ac:dyDescent="0.25">
      <c r="A4" s="56" t="s">
        <v>176</v>
      </c>
      <c r="B4" s="57"/>
      <c r="C4" s="58"/>
      <c r="D4" s="58"/>
      <c r="E4" s="58"/>
      <c r="F4" s="58"/>
      <c r="G4" s="58"/>
      <c r="H4" s="58"/>
      <c r="I4" s="58"/>
      <c r="J4" s="82"/>
      <c r="K4" s="59"/>
      <c r="L4" s="60"/>
      <c r="M4" s="60"/>
    </row>
    <row r="5" spans="1:13" ht="24.6" customHeight="1" x14ac:dyDescent="0.25">
      <c r="A5" s="83" t="s">
        <v>14</v>
      </c>
      <c r="B5" s="84"/>
      <c r="C5" s="84">
        <v>15000</v>
      </c>
      <c r="D5" s="84"/>
      <c r="E5" s="228">
        <v>7283.44</v>
      </c>
      <c r="F5" s="229">
        <f>+'Anticipated spend to End Year'!E13</f>
        <v>1389</v>
      </c>
      <c r="G5" s="85">
        <f>+ROUND(F5+E5,0)</f>
        <v>8672</v>
      </c>
      <c r="H5" s="87"/>
      <c r="I5" s="88">
        <f>10564*1.05</f>
        <v>11092.2</v>
      </c>
      <c r="J5" s="87"/>
      <c r="K5" s="85">
        <f>+G5-C5</f>
        <v>-6328</v>
      </c>
      <c r="L5" s="84">
        <f>+I5-C5</f>
        <v>-3907.7999999999993</v>
      </c>
      <c r="M5" s="69" t="s">
        <v>151</v>
      </c>
    </row>
    <row r="6" spans="1:13" ht="13.8" x14ac:dyDescent="0.25">
      <c r="A6" s="83" t="s">
        <v>190</v>
      </c>
      <c r="B6" s="84"/>
      <c r="C6" s="84">
        <v>0</v>
      </c>
      <c r="D6" s="84"/>
      <c r="E6" s="228">
        <v>0</v>
      </c>
      <c r="F6" s="229">
        <v>240</v>
      </c>
      <c r="G6" s="85">
        <f>(16.93*12*52)-G5</f>
        <v>1892.3199999999997</v>
      </c>
      <c r="H6" s="87"/>
      <c r="I6" s="88">
        <v>0</v>
      </c>
      <c r="J6" s="87"/>
      <c r="K6" s="85">
        <f>16.93*12*52</f>
        <v>10564.32</v>
      </c>
      <c r="L6" s="84">
        <f>+I6-C6</f>
        <v>0</v>
      </c>
      <c r="M6" s="69" t="s">
        <v>191</v>
      </c>
    </row>
    <row r="7" spans="1:13" ht="13.8" x14ac:dyDescent="0.25">
      <c r="A7" s="83" t="s">
        <v>141</v>
      </c>
      <c r="B7" s="84"/>
      <c r="C7" s="84">
        <v>0</v>
      </c>
      <c r="D7" s="84"/>
      <c r="E7" s="228">
        <v>2122.14</v>
      </c>
      <c r="F7" s="229">
        <v>0</v>
      </c>
      <c r="G7" s="85">
        <v>2250</v>
      </c>
      <c r="H7" s="87"/>
      <c r="I7" s="88">
        <v>3500</v>
      </c>
      <c r="J7" s="87"/>
      <c r="K7" s="85">
        <f t="shared" ref="K7:K36" si="0">+G7-C7</f>
        <v>2250</v>
      </c>
      <c r="L7" s="84">
        <f t="shared" ref="L7:L36" si="1">+I7-C7</f>
        <v>3500</v>
      </c>
      <c r="M7" s="49" t="s">
        <v>142</v>
      </c>
    </row>
    <row r="8" spans="1:13" ht="13.8" x14ac:dyDescent="0.25">
      <c r="A8" s="83" t="s">
        <v>1</v>
      </c>
      <c r="B8" s="84"/>
      <c r="C8" s="84">
        <v>500</v>
      </c>
      <c r="D8" s="84"/>
      <c r="E8" s="228">
        <v>672.06</v>
      </c>
      <c r="F8" s="229">
        <f>75+258.72+160</f>
        <v>493.72</v>
      </c>
      <c r="G8" s="85">
        <f>+F8+E8</f>
        <v>1165.78</v>
      </c>
      <c r="H8" s="87"/>
      <c r="I8" s="88">
        <v>504</v>
      </c>
      <c r="J8" s="87"/>
      <c r="K8" s="85">
        <f t="shared" si="0"/>
        <v>665.78</v>
      </c>
      <c r="L8" s="84">
        <f t="shared" si="1"/>
        <v>4</v>
      </c>
      <c r="M8" s="69" t="s">
        <v>187</v>
      </c>
    </row>
    <row r="9" spans="1:13" s="91" customFormat="1" ht="13.8" x14ac:dyDescent="0.25">
      <c r="A9" s="83" t="s">
        <v>157</v>
      </c>
      <c r="B9" s="89"/>
      <c r="C9" s="87">
        <v>200</v>
      </c>
      <c r="D9" s="87"/>
      <c r="E9" s="85" t="s">
        <v>37</v>
      </c>
      <c r="F9" s="89">
        <v>0</v>
      </c>
      <c r="G9" s="90"/>
      <c r="H9" s="89"/>
      <c r="I9" s="89">
        <v>400</v>
      </c>
      <c r="J9" s="89"/>
      <c r="K9" s="88">
        <f>+G9-C9</f>
        <v>-200</v>
      </c>
      <c r="L9" s="84">
        <f>+I9-C9</f>
        <v>200</v>
      </c>
      <c r="M9" s="69" t="s">
        <v>188</v>
      </c>
    </row>
    <row r="10" spans="1:13" ht="13.8" x14ac:dyDescent="0.25">
      <c r="A10" s="83" t="s">
        <v>101</v>
      </c>
      <c r="B10" s="84"/>
      <c r="C10" s="87">
        <v>0</v>
      </c>
      <c r="D10" s="87"/>
      <c r="E10" s="88">
        <v>0</v>
      </c>
      <c r="F10" s="88">
        <f>+'Anticipated spend to End Year'!E23+100</f>
        <v>600</v>
      </c>
      <c r="G10" s="88">
        <f>+F10+E10</f>
        <v>600</v>
      </c>
      <c r="H10" s="84"/>
      <c r="I10" s="84">
        <v>200</v>
      </c>
      <c r="J10" s="84"/>
      <c r="K10" s="88">
        <f>+G10-C10</f>
        <v>600</v>
      </c>
      <c r="L10" s="84">
        <f t="shared" ref="L10" si="2">+I10-C10</f>
        <v>200</v>
      </c>
      <c r="M10" s="69" t="s">
        <v>189</v>
      </c>
    </row>
    <row r="11" spans="1:13" ht="13.8" x14ac:dyDescent="0.25">
      <c r="A11" s="83" t="s">
        <v>18</v>
      </c>
      <c r="B11" s="84"/>
      <c r="C11" s="84">
        <v>200</v>
      </c>
      <c r="D11" s="84"/>
      <c r="E11" s="88" t="s">
        <v>37</v>
      </c>
      <c r="F11" s="86">
        <v>0</v>
      </c>
      <c r="G11" s="88">
        <v>160</v>
      </c>
      <c r="H11" s="84"/>
      <c r="I11" s="88">
        <v>160</v>
      </c>
      <c r="J11" s="84"/>
      <c r="K11" s="88">
        <f t="shared" si="0"/>
        <v>-40</v>
      </c>
      <c r="L11" s="88">
        <f>+I11-C11</f>
        <v>-40</v>
      </c>
      <c r="M11" s="69" t="s">
        <v>186</v>
      </c>
    </row>
    <row r="12" spans="1:13" ht="13.8" x14ac:dyDescent="0.25">
      <c r="A12" s="83" t="s">
        <v>136</v>
      </c>
      <c r="B12" s="84"/>
      <c r="C12" s="84">
        <v>0</v>
      </c>
      <c r="D12" s="84"/>
      <c r="E12" s="88">
        <v>0</v>
      </c>
      <c r="F12" s="84">
        <v>0</v>
      </c>
      <c r="G12" s="88">
        <f>+F12+E12</f>
        <v>0</v>
      </c>
      <c r="H12" s="84"/>
      <c r="I12" s="88">
        <v>582</v>
      </c>
      <c r="J12" s="84"/>
      <c r="K12" s="88">
        <f>+G12-C12</f>
        <v>0</v>
      </c>
      <c r="L12" s="88">
        <f>+I12-C12</f>
        <v>582</v>
      </c>
      <c r="M12" s="49" t="s">
        <v>135</v>
      </c>
    </row>
    <row r="13" spans="1:13" ht="13.8" x14ac:dyDescent="0.25">
      <c r="A13" s="83" t="s">
        <v>149</v>
      </c>
      <c r="B13" s="84"/>
      <c r="C13" s="84">
        <v>0</v>
      </c>
      <c r="D13" s="84"/>
      <c r="E13" s="88">
        <v>0</v>
      </c>
      <c r="F13" s="84">
        <v>0</v>
      </c>
      <c r="G13" s="88">
        <f>+F13+E13</f>
        <v>0</v>
      </c>
      <c r="H13" s="84"/>
      <c r="I13" s="88">
        <f>+ROUND(G13*104.1%,0)</f>
        <v>0</v>
      </c>
      <c r="J13" s="84"/>
      <c r="K13" s="88">
        <f>+G13-C13</f>
        <v>0</v>
      </c>
      <c r="L13" s="88">
        <f>+I13-C13</f>
        <v>0</v>
      </c>
      <c r="M13" s="69" t="s">
        <v>148</v>
      </c>
    </row>
    <row r="14" spans="1:13" ht="13.8" x14ac:dyDescent="0.25">
      <c r="A14" s="83" t="s">
        <v>144</v>
      </c>
      <c r="B14" s="84"/>
      <c r="C14" s="84">
        <v>920.08</v>
      </c>
      <c r="D14" s="84"/>
      <c r="E14" s="88">
        <v>958.16</v>
      </c>
      <c r="F14" s="84">
        <v>0</v>
      </c>
      <c r="G14" s="88">
        <f>+F14+E14</f>
        <v>958.16</v>
      </c>
      <c r="H14" s="84"/>
      <c r="I14" s="88">
        <f>+ROUND(G14*104.1%,0)</f>
        <v>997</v>
      </c>
      <c r="J14" s="84"/>
      <c r="K14" s="88">
        <f>+G14-C14</f>
        <v>38.079999999999927</v>
      </c>
      <c r="L14" s="88">
        <f>+I14-C14</f>
        <v>76.919999999999959</v>
      </c>
      <c r="M14" s="49">
        <v>11092</v>
      </c>
    </row>
    <row r="15" spans="1:13" ht="13.8" x14ac:dyDescent="0.25">
      <c r="A15" s="83" t="s">
        <v>12</v>
      </c>
      <c r="B15" s="84"/>
      <c r="C15" s="84">
        <v>240</v>
      </c>
      <c r="D15" s="84"/>
      <c r="E15" s="88">
        <v>240</v>
      </c>
      <c r="F15" s="84">
        <v>0</v>
      </c>
      <c r="G15" s="88">
        <f>+ROUND(C15*104.1%,0)</f>
        <v>250</v>
      </c>
      <c r="H15" s="88"/>
      <c r="I15" s="88">
        <f>+ROUND(G15*104.1%,0)</f>
        <v>260</v>
      </c>
      <c r="J15" s="88"/>
      <c r="K15" s="88">
        <f t="shared" si="0"/>
        <v>10</v>
      </c>
      <c r="L15" s="88">
        <f t="shared" si="1"/>
        <v>20</v>
      </c>
      <c r="M15" s="49">
        <v>5000</v>
      </c>
    </row>
    <row r="16" spans="1:13" ht="13.8" x14ac:dyDescent="0.25">
      <c r="A16" s="83" t="s">
        <v>8</v>
      </c>
      <c r="B16" s="84"/>
      <c r="C16" s="84">
        <v>75</v>
      </c>
      <c r="D16" s="84"/>
      <c r="E16" s="88">
        <v>119</v>
      </c>
      <c r="F16" s="84">
        <v>0</v>
      </c>
      <c r="G16" s="88">
        <f>+F16+E16</f>
        <v>119</v>
      </c>
      <c r="H16" s="88"/>
      <c r="I16" s="88">
        <f>+ROUND(G16*104.1%,0)</f>
        <v>124</v>
      </c>
      <c r="J16" s="88"/>
      <c r="K16" s="88">
        <f>+G16-C16</f>
        <v>44</v>
      </c>
      <c r="L16" s="88">
        <f>+I16-C16</f>
        <v>49</v>
      </c>
      <c r="M16" s="49">
        <f>+M14-M15</f>
        <v>6092</v>
      </c>
    </row>
    <row r="17" spans="1:13" ht="13.8" x14ac:dyDescent="0.25">
      <c r="A17" s="83" t="s">
        <v>36</v>
      </c>
      <c r="B17" s="84"/>
      <c r="C17" s="84">
        <v>450</v>
      </c>
      <c r="D17" s="84"/>
      <c r="E17" s="88">
        <v>252.99</v>
      </c>
      <c r="F17" s="84">
        <v>0</v>
      </c>
      <c r="G17" s="88">
        <f>+F17+E17</f>
        <v>252.99</v>
      </c>
      <c r="H17" s="88"/>
      <c r="I17" s="88">
        <v>450</v>
      </c>
      <c r="J17" s="88"/>
      <c r="K17" s="88">
        <f>+G17-C17</f>
        <v>-197.01</v>
      </c>
      <c r="L17" s="88">
        <f>+I17-C17</f>
        <v>0</v>
      </c>
      <c r="M17" s="69" t="s">
        <v>145</v>
      </c>
    </row>
    <row r="18" spans="1:13" ht="13.8" x14ac:dyDescent="0.25">
      <c r="A18" s="83" t="s">
        <v>133</v>
      </c>
      <c r="B18" s="84"/>
      <c r="C18" s="84">
        <v>7500</v>
      </c>
      <c r="D18" s="84"/>
      <c r="E18" s="88">
        <v>6250</v>
      </c>
      <c r="F18" s="84">
        <f>+'Anticipated spend to End Year'!E15</f>
        <v>1250</v>
      </c>
      <c r="G18" s="88">
        <f>+F18+E18</f>
        <v>7500</v>
      </c>
      <c r="H18" s="88"/>
      <c r="I18" s="88">
        <f>+ROUND(G18*104.1%,0)</f>
        <v>7808</v>
      </c>
      <c r="J18" s="88"/>
      <c r="K18" s="88">
        <f t="shared" si="0"/>
        <v>0</v>
      </c>
      <c r="L18" s="88">
        <f t="shared" si="1"/>
        <v>308</v>
      </c>
      <c r="M18" s="49" t="s">
        <v>113</v>
      </c>
    </row>
    <row r="19" spans="1:13" ht="13.8" x14ac:dyDescent="0.25">
      <c r="A19" s="83" t="s">
        <v>134</v>
      </c>
      <c r="B19" s="84"/>
      <c r="C19" s="84">
        <v>500</v>
      </c>
      <c r="D19" s="84"/>
      <c r="E19" s="88">
        <v>30</v>
      </c>
      <c r="F19" s="84">
        <f>+'Anticipated spend to End Year'!E17</f>
        <v>400</v>
      </c>
      <c r="G19" s="88">
        <v>500</v>
      </c>
      <c r="H19" s="88"/>
      <c r="I19" s="88">
        <f>+ROUND(G19*104.1%,0)</f>
        <v>521</v>
      </c>
      <c r="J19" s="88"/>
      <c r="K19" s="88">
        <f t="shared" si="0"/>
        <v>0</v>
      </c>
      <c r="L19" s="88">
        <f t="shared" si="1"/>
        <v>21</v>
      </c>
    </row>
    <row r="20" spans="1:13" ht="13.8" x14ac:dyDescent="0.25">
      <c r="A20" s="83" t="s">
        <v>22</v>
      </c>
      <c r="B20" s="84"/>
      <c r="C20" s="84">
        <v>8500</v>
      </c>
      <c r="D20" s="84"/>
      <c r="E20" s="88">
        <v>5410.26</v>
      </c>
      <c r="F20" s="88">
        <f>+E20/9*3</f>
        <v>1803.42</v>
      </c>
      <c r="G20" s="88">
        <f t="shared" ref="G20:G36" si="3">+F20+E20</f>
        <v>7213.68</v>
      </c>
      <c r="H20" s="88"/>
      <c r="I20" s="186">
        <v>7250</v>
      </c>
      <c r="J20" s="88"/>
      <c r="K20" s="88">
        <f t="shared" si="0"/>
        <v>-1286.3199999999997</v>
      </c>
      <c r="L20" s="88">
        <f t="shared" si="1"/>
        <v>-1250</v>
      </c>
    </row>
    <row r="21" spans="1:13" ht="13.8" x14ac:dyDescent="0.25">
      <c r="A21" s="83" t="s">
        <v>146</v>
      </c>
      <c r="B21" s="84"/>
      <c r="C21" s="84">
        <v>1500</v>
      </c>
      <c r="D21" s="84"/>
      <c r="E21" s="85">
        <v>0</v>
      </c>
      <c r="F21" s="88">
        <f>+'Anticipated spend to End Year'!E19</f>
        <v>1500</v>
      </c>
      <c r="G21" s="88">
        <f>+F21+E21</f>
        <v>1500</v>
      </c>
      <c r="H21" s="84"/>
      <c r="I21" s="84">
        <f>+ROUND(G21*104.1%,0)</f>
        <v>1562</v>
      </c>
      <c r="J21" s="84"/>
      <c r="K21" s="88">
        <f>+G21-C21</f>
        <v>0</v>
      </c>
      <c r="L21" s="84">
        <f>+I21-C21</f>
        <v>62</v>
      </c>
      <c r="M21" s="69" t="s">
        <v>147</v>
      </c>
    </row>
    <row r="22" spans="1:13" ht="13.8" x14ac:dyDescent="0.25">
      <c r="A22" s="83" t="s">
        <v>139</v>
      </c>
      <c r="B22" s="84"/>
      <c r="C22" s="84">
        <v>0</v>
      </c>
      <c r="D22" s="84"/>
      <c r="E22" s="88">
        <v>0</v>
      </c>
      <c r="F22" s="84">
        <v>0</v>
      </c>
      <c r="G22" s="88">
        <f t="shared" si="3"/>
        <v>0</v>
      </c>
      <c r="H22" s="84"/>
      <c r="I22" s="84">
        <v>250</v>
      </c>
      <c r="J22" s="84"/>
      <c r="K22" s="88">
        <f t="shared" ref="K22" si="4">+G22-C22</f>
        <v>0</v>
      </c>
      <c r="L22" s="84">
        <f t="shared" ref="L22" si="5">+I22-C22</f>
        <v>250</v>
      </c>
      <c r="M22" s="49" t="s">
        <v>140</v>
      </c>
    </row>
    <row r="23" spans="1:13" ht="13.8" x14ac:dyDescent="0.25">
      <c r="A23" s="83" t="s">
        <v>150</v>
      </c>
      <c r="B23" s="84"/>
      <c r="C23" s="84">
        <v>800</v>
      </c>
      <c r="D23" s="84"/>
      <c r="E23" s="88">
        <v>0</v>
      </c>
      <c r="F23" s="84">
        <v>800</v>
      </c>
      <c r="G23" s="88">
        <f t="shared" si="3"/>
        <v>800</v>
      </c>
      <c r="H23" s="84"/>
      <c r="I23" s="84">
        <f>+ROUND(G23*104.1%,0)</f>
        <v>833</v>
      </c>
      <c r="J23" s="84"/>
      <c r="K23" s="88">
        <f t="shared" si="0"/>
        <v>0</v>
      </c>
      <c r="L23" s="84">
        <f t="shared" si="1"/>
        <v>33</v>
      </c>
    </row>
    <row r="24" spans="1:13" ht="13.8" x14ac:dyDescent="0.25">
      <c r="A24" s="83" t="s">
        <v>7</v>
      </c>
      <c r="B24" s="84"/>
      <c r="C24" s="84">
        <v>200</v>
      </c>
      <c r="D24" s="84"/>
      <c r="E24" s="85">
        <v>0</v>
      </c>
      <c r="F24" s="84">
        <v>200</v>
      </c>
      <c r="G24" s="88">
        <f>+F24+E24</f>
        <v>200</v>
      </c>
      <c r="H24" s="84"/>
      <c r="I24" s="84">
        <v>250</v>
      </c>
      <c r="J24" s="84"/>
      <c r="K24" s="88">
        <f>+G24-C24</f>
        <v>0</v>
      </c>
      <c r="L24" s="84">
        <f>+I24-C24</f>
        <v>50</v>
      </c>
    </row>
    <row r="25" spans="1:13" ht="13.8" x14ac:dyDescent="0.25">
      <c r="A25" s="83" t="s">
        <v>13</v>
      </c>
      <c r="B25" s="84"/>
      <c r="C25" s="84">
        <v>30</v>
      </c>
      <c r="D25" s="84"/>
      <c r="E25" s="88">
        <v>30</v>
      </c>
      <c r="F25" s="84">
        <v>0</v>
      </c>
      <c r="G25" s="88">
        <f t="shared" si="3"/>
        <v>30</v>
      </c>
      <c r="H25" s="84"/>
      <c r="I25" s="84">
        <f>+ROUND(G25*104.1%,0)</f>
        <v>31</v>
      </c>
      <c r="J25" s="84"/>
      <c r="K25" s="88">
        <f t="shared" si="0"/>
        <v>0</v>
      </c>
      <c r="L25" s="84">
        <f t="shared" si="1"/>
        <v>1</v>
      </c>
    </row>
    <row r="26" spans="1:13" ht="13.8" x14ac:dyDescent="0.25">
      <c r="A26" s="83" t="s">
        <v>15</v>
      </c>
      <c r="B26" s="84"/>
      <c r="C26" s="84">
        <v>250</v>
      </c>
      <c r="D26" s="84"/>
      <c r="E26" s="88">
        <v>250</v>
      </c>
      <c r="F26" s="84">
        <v>0</v>
      </c>
      <c r="G26" s="88">
        <f t="shared" si="3"/>
        <v>250</v>
      </c>
      <c r="H26" s="84"/>
      <c r="I26" s="84">
        <f t="shared" ref="I26:I29" si="6">+ROUND(G26*104.1%,0)</f>
        <v>260</v>
      </c>
      <c r="J26" s="84"/>
      <c r="K26" s="88">
        <f t="shared" si="0"/>
        <v>0</v>
      </c>
      <c r="L26" s="84">
        <f t="shared" si="1"/>
        <v>10</v>
      </c>
    </row>
    <row r="27" spans="1:13" ht="13.8" x14ac:dyDescent="0.25">
      <c r="A27" s="83" t="s">
        <v>20</v>
      </c>
      <c r="B27" s="84"/>
      <c r="C27" s="87">
        <v>500</v>
      </c>
      <c r="D27" s="87"/>
      <c r="E27" s="88">
        <v>0</v>
      </c>
      <c r="F27" s="88">
        <f>+'Anticipated spend to End Year'!E21</f>
        <v>500</v>
      </c>
      <c r="G27" s="88">
        <f>+F27+E27</f>
        <v>500</v>
      </c>
      <c r="H27" s="84"/>
      <c r="I27" s="84">
        <f t="shared" ref="I27" si="7">+ROUND(G27*104.1%,0)</f>
        <v>521</v>
      </c>
      <c r="J27" s="84"/>
      <c r="K27" s="88">
        <f>+G27-C27</f>
        <v>0</v>
      </c>
      <c r="L27" s="84">
        <f>+I27-C27</f>
        <v>21</v>
      </c>
      <c r="M27" s="69" t="s">
        <v>160</v>
      </c>
    </row>
    <row r="28" spans="1:13" ht="13.8" x14ac:dyDescent="0.25">
      <c r="A28" s="83" t="s">
        <v>153</v>
      </c>
      <c r="B28" s="84"/>
      <c r="C28" s="84">
        <v>2000</v>
      </c>
      <c r="D28" s="84"/>
      <c r="E28" s="88">
        <v>0</v>
      </c>
      <c r="F28" s="84">
        <v>0</v>
      </c>
      <c r="G28" s="88">
        <f t="shared" si="3"/>
        <v>0</v>
      </c>
      <c r="H28" s="84"/>
      <c r="I28" s="84">
        <v>1700</v>
      </c>
      <c r="J28" s="84"/>
      <c r="K28" s="88">
        <f t="shared" si="0"/>
        <v>-2000</v>
      </c>
      <c r="L28" s="84">
        <f t="shared" si="1"/>
        <v>-300</v>
      </c>
      <c r="M28" s="69" t="s">
        <v>152</v>
      </c>
    </row>
    <row r="29" spans="1:13" ht="13.8" x14ac:dyDescent="0.25">
      <c r="A29" s="83" t="s">
        <v>154</v>
      </c>
      <c r="B29" s="84"/>
      <c r="C29" s="84">
        <v>250</v>
      </c>
      <c r="D29" s="84"/>
      <c r="E29" s="88">
        <v>0</v>
      </c>
      <c r="F29" s="84">
        <f>+'Anticipated spend to End Year'!E18</f>
        <v>250</v>
      </c>
      <c r="G29" s="88">
        <f t="shared" si="3"/>
        <v>250</v>
      </c>
      <c r="H29" s="84"/>
      <c r="I29" s="84">
        <f t="shared" si="6"/>
        <v>260</v>
      </c>
      <c r="J29" s="84"/>
      <c r="K29" s="88">
        <f t="shared" si="0"/>
        <v>0</v>
      </c>
      <c r="L29" s="84">
        <f t="shared" si="1"/>
        <v>10</v>
      </c>
    </row>
    <row r="30" spans="1:13" s="78" customFormat="1" ht="13.8" x14ac:dyDescent="0.25">
      <c r="A30" s="83" t="s">
        <v>155</v>
      </c>
      <c r="B30" s="87"/>
      <c r="C30" s="87">
        <v>5000</v>
      </c>
      <c r="D30" s="85"/>
      <c r="E30" s="85">
        <v>22.5</v>
      </c>
      <c r="F30" s="84"/>
      <c r="G30" s="88">
        <f t="shared" si="3"/>
        <v>22.5</v>
      </c>
      <c r="H30" s="87"/>
      <c r="I30" s="84">
        <v>0</v>
      </c>
      <c r="J30" s="87"/>
      <c r="K30" s="88">
        <f t="shared" si="0"/>
        <v>-4977.5</v>
      </c>
      <c r="L30" s="84">
        <f t="shared" si="1"/>
        <v>-5000</v>
      </c>
      <c r="M30" s="69" t="s">
        <v>112</v>
      </c>
    </row>
    <row r="31" spans="1:13" s="91" customFormat="1" ht="13.8" x14ac:dyDescent="0.25">
      <c r="A31" s="83" t="s">
        <v>17</v>
      </c>
      <c r="B31" s="89"/>
      <c r="C31" s="87">
        <v>750</v>
      </c>
      <c r="D31" s="89"/>
      <c r="E31" s="85">
        <v>0</v>
      </c>
      <c r="F31" s="89">
        <v>0</v>
      </c>
      <c r="G31" s="88">
        <f t="shared" si="3"/>
        <v>0</v>
      </c>
      <c r="H31" s="89"/>
      <c r="I31" s="84">
        <v>500</v>
      </c>
      <c r="J31" s="89"/>
      <c r="K31" s="88">
        <f t="shared" si="0"/>
        <v>-750</v>
      </c>
      <c r="L31" s="84">
        <f t="shared" si="1"/>
        <v>-250</v>
      </c>
      <c r="M31" s="69" t="s">
        <v>156</v>
      </c>
    </row>
    <row r="32" spans="1:13" ht="13.8" x14ac:dyDescent="0.25">
      <c r="A32" s="83" t="s">
        <v>129</v>
      </c>
      <c r="B32" s="84"/>
      <c r="C32" s="87">
        <v>4000</v>
      </c>
      <c r="D32" s="87"/>
      <c r="E32" s="88">
        <v>595</v>
      </c>
      <c r="F32" s="87">
        <v>500</v>
      </c>
      <c r="G32" s="88">
        <f>+E32</f>
        <v>595</v>
      </c>
      <c r="H32" s="84"/>
      <c r="I32" s="87">
        <v>15000</v>
      </c>
      <c r="J32" s="84"/>
      <c r="K32" s="88">
        <f t="shared" si="0"/>
        <v>-3405</v>
      </c>
      <c r="L32" s="84">
        <f t="shared" si="1"/>
        <v>11000</v>
      </c>
      <c r="M32" s="69" t="s">
        <v>158</v>
      </c>
    </row>
    <row r="33" spans="1:13" ht="13.8" x14ac:dyDescent="0.25">
      <c r="A33" s="83" t="s">
        <v>11</v>
      </c>
      <c r="B33" s="84"/>
      <c r="C33" s="84">
        <v>420</v>
      </c>
      <c r="D33" s="84"/>
      <c r="E33" s="85">
        <v>504</v>
      </c>
      <c r="F33" s="84">
        <v>0</v>
      </c>
      <c r="G33" s="88">
        <f>+F33+E33</f>
        <v>504</v>
      </c>
      <c r="H33" s="84"/>
      <c r="I33" s="84">
        <v>600</v>
      </c>
      <c r="J33" s="84"/>
      <c r="K33" s="88">
        <f>+G33-C33</f>
        <v>84</v>
      </c>
      <c r="L33" s="84">
        <f>+I33-C33</f>
        <v>180</v>
      </c>
      <c r="M33" s="69" t="s">
        <v>159</v>
      </c>
    </row>
    <row r="34" spans="1:13" ht="13.8" x14ac:dyDescent="0.25">
      <c r="A34" s="83" t="s">
        <v>23</v>
      </c>
      <c r="B34" s="84"/>
      <c r="C34" s="87">
        <v>350</v>
      </c>
      <c r="D34" s="84"/>
      <c r="E34" s="85">
        <v>180.42</v>
      </c>
      <c r="F34" s="84">
        <f>+ROUND(E34/12*3,0)</f>
        <v>45</v>
      </c>
      <c r="G34" s="88">
        <f>+F34+E34</f>
        <v>225.42</v>
      </c>
      <c r="H34" s="84"/>
      <c r="I34" s="84">
        <f>+ROUND(G34*104.1%,0)</f>
        <v>235</v>
      </c>
      <c r="J34" s="84"/>
      <c r="K34" s="88">
        <f>+G34-C34</f>
        <v>-124.58000000000001</v>
      </c>
      <c r="L34" s="84">
        <f>+I34-C34</f>
        <v>-115</v>
      </c>
    </row>
    <row r="35" spans="1:13" ht="13.8" x14ac:dyDescent="0.25">
      <c r="A35" s="83" t="s">
        <v>21</v>
      </c>
      <c r="B35" s="84"/>
      <c r="C35" s="87">
        <v>500</v>
      </c>
      <c r="D35" s="87"/>
      <c r="E35" s="85" t="s">
        <v>37</v>
      </c>
      <c r="F35" s="84">
        <v>0</v>
      </c>
      <c r="G35" s="90">
        <v>0</v>
      </c>
      <c r="H35" s="84"/>
      <c r="I35" s="87">
        <v>0</v>
      </c>
      <c r="J35" s="84"/>
      <c r="K35" s="88">
        <f t="shared" si="0"/>
        <v>-500</v>
      </c>
      <c r="L35" s="84">
        <f t="shared" si="1"/>
        <v>-500</v>
      </c>
      <c r="M35" s="69" t="s">
        <v>185</v>
      </c>
    </row>
    <row r="36" spans="1:13" ht="13.8" x14ac:dyDescent="0.25">
      <c r="A36" s="83" t="s">
        <v>26</v>
      </c>
      <c r="B36" s="84"/>
      <c r="C36" s="87">
        <v>200</v>
      </c>
      <c r="D36" s="87"/>
      <c r="E36" s="88">
        <v>0</v>
      </c>
      <c r="F36" s="88">
        <f>+'Anticipated spend to End Year'!E20</f>
        <v>200</v>
      </c>
      <c r="G36" s="88">
        <f t="shared" si="3"/>
        <v>200</v>
      </c>
      <c r="H36" s="84"/>
      <c r="I36" s="84">
        <f>13*2.5*8</f>
        <v>260</v>
      </c>
      <c r="J36" s="84"/>
      <c r="K36" s="88">
        <f t="shared" si="0"/>
        <v>0</v>
      </c>
      <c r="L36" s="84">
        <f t="shared" si="1"/>
        <v>60</v>
      </c>
      <c r="M36" s="69" t="s">
        <v>161</v>
      </c>
    </row>
    <row r="37" spans="1:13" ht="13.8" x14ac:dyDescent="0.25">
      <c r="A37" s="92"/>
      <c r="C37" s="78"/>
      <c r="D37" s="78"/>
      <c r="E37" s="93"/>
      <c r="G37" s="93"/>
      <c r="I37" s="78"/>
    </row>
    <row r="38" spans="1:13" ht="13.8" x14ac:dyDescent="0.25">
      <c r="A38" s="94" t="s">
        <v>177</v>
      </c>
      <c r="B38" s="81"/>
      <c r="C38" s="95">
        <f>SUM(C5:C36)</f>
        <v>50835.08</v>
      </c>
      <c r="D38" s="96"/>
      <c r="E38" s="95">
        <f>SUM(E5:E37)</f>
        <v>24919.97</v>
      </c>
      <c r="F38" s="95">
        <f>SUM(F5:F37)</f>
        <v>10171.14</v>
      </c>
      <c r="G38" s="95">
        <f>SUM(G5:G37)</f>
        <v>36610.85</v>
      </c>
      <c r="H38" s="97"/>
      <c r="I38" s="95">
        <f>SUM(I5:I37)</f>
        <v>56110.2</v>
      </c>
      <c r="J38" s="97"/>
      <c r="K38" s="95">
        <f>SUM(K5:K37)</f>
        <v>-5552.2300000000005</v>
      </c>
      <c r="L38" s="98">
        <f>SUM(L5:L37)</f>
        <v>5275.1200000000008</v>
      </c>
    </row>
    <row r="39" spans="1:13" ht="13.8" x14ac:dyDescent="0.25">
      <c r="A39" s="92"/>
      <c r="D39" s="81"/>
      <c r="M39" s="49">
        <f>3788+1833</f>
        <v>5621</v>
      </c>
    </row>
    <row r="40" spans="1:13" ht="16.2" customHeight="1" x14ac:dyDescent="0.25">
      <c r="A40" s="99" t="s">
        <v>178</v>
      </c>
      <c r="B40" s="100" t="s">
        <v>179</v>
      </c>
      <c r="C40" s="101"/>
      <c r="D40" s="102"/>
      <c r="E40" s="101"/>
      <c r="F40" s="101"/>
      <c r="G40" s="101"/>
      <c r="H40" s="101"/>
      <c r="I40" s="101"/>
      <c r="J40" s="101"/>
      <c r="K40" s="103"/>
    </row>
    <row r="41" spans="1:13" ht="13.8" x14ac:dyDescent="0.25">
      <c r="A41" s="104" t="s">
        <v>92</v>
      </c>
      <c r="B41" s="105"/>
      <c r="C41" s="105"/>
      <c r="D41" s="106"/>
      <c r="E41" s="105"/>
      <c r="F41" s="105"/>
      <c r="G41" s="105"/>
      <c r="H41" s="105"/>
      <c r="I41" s="105"/>
      <c r="J41" s="105"/>
      <c r="K41" s="107"/>
    </row>
    <row r="42" spans="1:13" ht="13.8" x14ac:dyDescent="0.25">
      <c r="A42" s="104" t="s">
        <v>57</v>
      </c>
      <c r="B42" s="108">
        <v>40</v>
      </c>
      <c r="C42" s="105"/>
      <c r="D42" s="105"/>
      <c r="E42" s="105"/>
      <c r="F42" s="105"/>
      <c r="G42" s="105"/>
      <c r="H42" s="105"/>
      <c r="I42" s="105">
        <f>+ROUND(B42*104.1%,0)</f>
        <v>42</v>
      </c>
      <c r="J42" s="105"/>
      <c r="K42" s="107"/>
    </row>
    <row r="43" spans="1:13" ht="13.8" x14ac:dyDescent="0.25">
      <c r="A43" s="104" t="s">
        <v>56</v>
      </c>
      <c r="B43" s="108">
        <v>332</v>
      </c>
      <c r="C43" s="105"/>
      <c r="D43" s="105"/>
      <c r="E43" s="105"/>
      <c r="F43" s="105"/>
      <c r="G43" s="105"/>
      <c r="H43" s="105"/>
      <c r="I43" s="105">
        <v>0</v>
      </c>
      <c r="J43" s="105"/>
      <c r="K43" s="107"/>
    </row>
    <row r="44" spans="1:13" ht="13.8" x14ac:dyDescent="0.25">
      <c r="A44" s="104" t="s">
        <v>58</v>
      </c>
      <c r="B44" s="108">
        <v>28.78</v>
      </c>
      <c r="C44" s="105"/>
      <c r="D44" s="105"/>
      <c r="E44" s="105"/>
      <c r="F44" s="105"/>
      <c r="G44" s="105"/>
      <c r="H44" s="105"/>
      <c r="I44" s="105">
        <f t="shared" ref="I44:I45" si="8">+ROUND(B44*104.1%,0)</f>
        <v>30</v>
      </c>
      <c r="J44" s="105"/>
      <c r="K44" s="107"/>
    </row>
    <row r="45" spans="1:13" ht="13.8" x14ac:dyDescent="0.25">
      <c r="A45" s="104" t="s">
        <v>106</v>
      </c>
      <c r="B45" s="108">
        <f>12.36*12</f>
        <v>148.32</v>
      </c>
      <c r="C45" s="105"/>
      <c r="D45" s="105"/>
      <c r="E45" s="105"/>
      <c r="F45" s="105"/>
      <c r="G45" s="105"/>
      <c r="H45" s="105"/>
      <c r="I45" s="105">
        <f t="shared" si="8"/>
        <v>154</v>
      </c>
      <c r="J45" s="105"/>
      <c r="K45" s="107"/>
    </row>
    <row r="46" spans="1:13" ht="13.8" x14ac:dyDescent="0.25">
      <c r="A46" s="109"/>
      <c r="B46" s="110">
        <f>SUM(B42:B45)</f>
        <v>549.09999999999991</v>
      </c>
      <c r="C46" s="111"/>
      <c r="D46" s="111"/>
      <c r="E46" s="111"/>
      <c r="F46" s="111"/>
      <c r="G46" s="111"/>
      <c r="H46" s="111"/>
      <c r="I46" s="110">
        <f>SUM(I42:I45)</f>
        <v>226</v>
      </c>
      <c r="J46" s="111"/>
      <c r="K46" s="112"/>
    </row>
    <row r="47" spans="1:13" ht="13.8" x14ac:dyDescent="0.25">
      <c r="A47" s="94"/>
    </row>
    <row r="48" spans="1:13" ht="13.8" x14ac:dyDescent="0.25">
      <c r="A48" s="113" t="s">
        <v>175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5"/>
      <c r="L48" s="114"/>
      <c r="M48" s="70"/>
    </row>
    <row r="49" spans="1:13" s="78" customFormat="1" ht="13.8" x14ac:dyDescent="0.25">
      <c r="A49" s="116" t="s">
        <v>126</v>
      </c>
      <c r="B49" s="117"/>
      <c r="C49" s="117">
        <v>3500</v>
      </c>
      <c r="D49" s="118"/>
      <c r="E49" s="117"/>
      <c r="F49" s="117"/>
      <c r="G49" s="117"/>
      <c r="H49" s="117"/>
      <c r="I49" s="117">
        <v>4250</v>
      </c>
      <c r="J49" s="117"/>
      <c r="K49" s="119"/>
      <c r="L49" s="120">
        <f t="shared" ref="L49" si="9">+I49-C49</f>
        <v>750</v>
      </c>
      <c r="M49" s="69" t="s">
        <v>196</v>
      </c>
    </row>
    <row r="50" spans="1:13" s="78" customFormat="1" ht="41.4" x14ac:dyDescent="0.25">
      <c r="A50" s="121" t="s">
        <v>195</v>
      </c>
      <c r="B50" s="87"/>
      <c r="C50" s="87"/>
      <c r="D50" s="122"/>
      <c r="E50" s="87"/>
      <c r="F50" s="87"/>
      <c r="G50" s="87"/>
      <c r="H50" s="87"/>
      <c r="I50" s="87"/>
      <c r="J50" s="87"/>
      <c r="K50" s="85"/>
      <c r="L50" s="123"/>
      <c r="M50" s="69"/>
    </row>
    <row r="51" spans="1:13" s="78" customFormat="1" ht="13.8" x14ac:dyDescent="0.25">
      <c r="A51" s="124" t="s">
        <v>39</v>
      </c>
      <c r="B51" s="125"/>
      <c r="C51" s="126"/>
      <c r="D51" s="127"/>
      <c r="E51" s="125">
        <v>3000</v>
      </c>
      <c r="F51" s="125">
        <v>0</v>
      </c>
      <c r="G51" s="128">
        <f t="shared" ref="G51" si="10">+F51+E51</f>
        <v>3000</v>
      </c>
      <c r="H51" s="125"/>
      <c r="I51" s="125"/>
      <c r="J51" s="125"/>
      <c r="K51" s="126"/>
      <c r="L51" s="129"/>
      <c r="M51" s="69"/>
    </row>
    <row r="52" spans="1:13" s="78" customFormat="1" ht="13.8" x14ac:dyDescent="0.25">
      <c r="A52" s="92"/>
      <c r="D52" s="130"/>
      <c r="K52" s="131"/>
      <c r="M52" s="69"/>
    </row>
    <row r="53" spans="1:13" ht="13.8" x14ac:dyDescent="0.25">
      <c r="A53" s="132" t="s">
        <v>194</v>
      </c>
      <c r="B53" s="82"/>
      <c r="C53" s="82"/>
      <c r="D53" s="82"/>
      <c r="E53" s="82"/>
      <c r="F53" s="82"/>
      <c r="G53" s="82"/>
      <c r="H53" s="82"/>
      <c r="I53" s="82"/>
      <c r="J53" s="82"/>
      <c r="K53" s="133"/>
      <c r="L53" s="82"/>
      <c r="M53" s="60"/>
    </row>
    <row r="54" spans="1:13" ht="13.8" x14ac:dyDescent="0.25">
      <c r="A54" s="116" t="s">
        <v>126</v>
      </c>
      <c r="B54" s="134"/>
      <c r="C54" s="134">
        <v>3000</v>
      </c>
      <c r="D54" s="117"/>
      <c r="E54" s="134"/>
      <c r="F54" s="134"/>
      <c r="G54" s="134"/>
      <c r="H54" s="134"/>
      <c r="I54" s="117">
        <v>3000</v>
      </c>
      <c r="J54" s="134"/>
      <c r="K54" s="135"/>
      <c r="L54" s="120">
        <f t="shared" ref="L54" si="11">+I54-C54</f>
        <v>0</v>
      </c>
    </row>
    <row r="55" spans="1:13" ht="13.8" x14ac:dyDescent="0.25">
      <c r="A55" s="124" t="s">
        <v>93</v>
      </c>
      <c r="B55" s="68"/>
      <c r="C55" s="68"/>
      <c r="D55" s="125"/>
      <c r="E55" s="68">
        <v>170</v>
      </c>
      <c r="F55" s="68">
        <v>0</v>
      </c>
      <c r="G55" s="128">
        <f t="shared" ref="G55" si="12">+F55+E55</f>
        <v>170</v>
      </c>
      <c r="H55" s="68"/>
      <c r="I55" s="68"/>
      <c r="J55" s="68"/>
      <c r="K55" s="128"/>
      <c r="L55" s="136"/>
    </row>
    <row r="56" spans="1:13" ht="13.8" x14ac:dyDescent="0.25">
      <c r="A56" s="92"/>
      <c r="D56" s="78"/>
    </row>
    <row r="57" spans="1:13" ht="13.8" x14ac:dyDescent="0.25">
      <c r="A57" s="113" t="s">
        <v>174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5"/>
      <c r="L57" s="114"/>
      <c r="M57" s="70"/>
    </row>
    <row r="58" spans="1:13" ht="13.8" x14ac:dyDescent="0.25">
      <c r="A58" s="116" t="s">
        <v>126</v>
      </c>
      <c r="B58" s="134"/>
      <c r="C58" s="134">
        <v>4000</v>
      </c>
      <c r="D58" s="117"/>
      <c r="E58" s="134">
        <v>0</v>
      </c>
      <c r="F58" s="134">
        <v>0</v>
      </c>
      <c r="G58" s="134">
        <v>0</v>
      </c>
      <c r="H58" s="134"/>
      <c r="I58" s="117">
        <v>3000</v>
      </c>
      <c r="J58" s="134"/>
      <c r="K58" s="135"/>
      <c r="L58" s="120">
        <f t="shared" ref="L58" si="13">+I58-C58</f>
        <v>-1000</v>
      </c>
      <c r="M58" s="69"/>
    </row>
    <row r="59" spans="1:13" ht="13.8" x14ac:dyDescent="0.25">
      <c r="A59" s="137"/>
      <c r="B59" s="68"/>
      <c r="C59" s="68"/>
      <c r="D59" s="125"/>
      <c r="E59" s="68"/>
      <c r="F59" s="68"/>
      <c r="G59" s="68"/>
      <c r="H59" s="68"/>
      <c r="I59" s="68"/>
      <c r="J59" s="68"/>
      <c r="K59" s="128"/>
      <c r="L59" s="136"/>
    </row>
    <row r="60" spans="1:13" ht="13.8" x14ac:dyDescent="0.25">
      <c r="A60" s="138"/>
      <c r="D60" s="78"/>
    </row>
    <row r="61" spans="1:13" ht="13.8" x14ac:dyDescent="0.25">
      <c r="A61" s="113" t="s">
        <v>197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5"/>
      <c r="L61" s="114"/>
      <c r="M61" s="70"/>
    </row>
    <row r="62" spans="1:13" ht="13.8" x14ac:dyDescent="0.25">
      <c r="A62" s="116" t="s">
        <v>126</v>
      </c>
      <c r="B62" s="134"/>
      <c r="C62" s="134">
        <v>10000</v>
      </c>
      <c r="D62" s="119"/>
      <c r="E62" s="134"/>
      <c r="F62" s="134"/>
      <c r="G62" s="134"/>
      <c r="H62" s="134"/>
      <c r="I62" s="134">
        <v>10000</v>
      </c>
      <c r="J62" s="134"/>
      <c r="K62" s="135"/>
      <c r="L62" s="120">
        <f t="shared" ref="L62" si="14">+I62-C62</f>
        <v>0</v>
      </c>
    </row>
    <row r="63" spans="1:13" ht="13.8" x14ac:dyDescent="0.25">
      <c r="A63" s="139" t="s">
        <v>41</v>
      </c>
      <c r="B63" s="84"/>
      <c r="C63" s="84"/>
      <c r="D63" s="85"/>
      <c r="E63" s="140">
        <v>5000</v>
      </c>
      <c r="F63" s="84"/>
      <c r="G63" s="140">
        <f>+B70</f>
        <v>4209.58</v>
      </c>
      <c r="H63" s="84"/>
      <c r="I63" s="84"/>
      <c r="J63" s="84"/>
      <c r="K63" s="88"/>
      <c r="L63" s="141"/>
    </row>
    <row r="64" spans="1:13" ht="13.8" x14ac:dyDescent="0.25">
      <c r="A64" s="142" t="s">
        <v>164</v>
      </c>
      <c r="B64" s="84">
        <v>24.58</v>
      </c>
      <c r="C64" s="84"/>
      <c r="D64" s="85"/>
      <c r="E64" s="84"/>
      <c r="F64" s="84"/>
      <c r="G64" s="84"/>
      <c r="H64" s="84"/>
      <c r="I64" s="84"/>
      <c r="J64" s="84"/>
      <c r="K64" s="88"/>
      <c r="L64" s="141"/>
    </row>
    <row r="65" spans="1:13" ht="13.8" x14ac:dyDescent="0.25">
      <c r="A65" s="142" t="s">
        <v>165</v>
      </c>
      <c r="B65" s="84">
        <v>450</v>
      </c>
      <c r="C65" s="84"/>
      <c r="D65" s="85"/>
      <c r="E65" s="84"/>
      <c r="F65" s="84"/>
      <c r="G65" s="84"/>
      <c r="H65" s="84"/>
      <c r="I65" s="84"/>
      <c r="J65" s="84"/>
      <c r="K65" s="88"/>
      <c r="L65" s="141"/>
    </row>
    <row r="66" spans="1:13" ht="13.8" x14ac:dyDescent="0.25">
      <c r="A66" s="142" t="s">
        <v>166</v>
      </c>
      <c r="B66" s="84">
        <v>400</v>
      </c>
      <c r="C66" s="84"/>
      <c r="D66" s="143"/>
      <c r="E66" s="84"/>
      <c r="F66" s="84"/>
      <c r="G66" s="84"/>
      <c r="H66" s="84"/>
      <c r="I66" s="84"/>
      <c r="J66" s="84"/>
      <c r="K66" s="88"/>
      <c r="L66" s="141"/>
    </row>
    <row r="67" spans="1:13" ht="13.8" x14ac:dyDescent="0.25">
      <c r="A67" s="142" t="s">
        <v>47</v>
      </c>
      <c r="B67" s="84">
        <v>522.5</v>
      </c>
      <c r="C67" s="84"/>
      <c r="D67" s="84"/>
      <c r="E67" s="84"/>
      <c r="F67" s="84"/>
      <c r="G67" s="84"/>
      <c r="H67" s="84"/>
      <c r="I67" s="84"/>
      <c r="J67" s="84"/>
      <c r="K67" s="88"/>
      <c r="L67" s="141"/>
    </row>
    <row r="68" spans="1:13" ht="13.8" x14ac:dyDescent="0.25">
      <c r="A68" s="142" t="s">
        <v>45</v>
      </c>
      <c r="B68" s="87">
        <v>2572.5</v>
      </c>
      <c r="C68" s="84"/>
      <c r="D68" s="84"/>
      <c r="E68" s="84"/>
      <c r="F68" s="84"/>
      <c r="G68" s="84"/>
      <c r="H68" s="84"/>
      <c r="I68" s="84"/>
      <c r="J68" s="84"/>
      <c r="K68" s="88"/>
      <c r="L68" s="141"/>
    </row>
    <row r="69" spans="1:13" ht="13.8" x14ac:dyDescent="0.25">
      <c r="A69" s="142" t="s">
        <v>46</v>
      </c>
      <c r="B69" s="84">
        <v>240</v>
      </c>
      <c r="C69" s="84"/>
      <c r="D69" s="84"/>
      <c r="E69" s="84"/>
      <c r="F69" s="84"/>
      <c r="G69" s="84"/>
      <c r="H69" s="84"/>
      <c r="I69" s="84"/>
      <c r="J69" s="84"/>
      <c r="K69" s="88"/>
      <c r="L69" s="141"/>
    </row>
    <row r="70" spans="1:13" ht="13.8" x14ac:dyDescent="0.25">
      <c r="A70" s="144" t="s">
        <v>192</v>
      </c>
      <c r="B70" s="143">
        <f>SUM(B64:B69)</f>
        <v>4209.58</v>
      </c>
      <c r="C70" s="145"/>
      <c r="D70" s="84"/>
      <c r="E70" s="84"/>
      <c r="F70" s="84"/>
      <c r="G70" s="84"/>
      <c r="H70" s="84"/>
      <c r="I70" s="84"/>
      <c r="J70" s="84"/>
      <c r="K70" s="88"/>
      <c r="L70" s="141"/>
    </row>
    <row r="71" spans="1:13" ht="13.8" x14ac:dyDescent="0.25">
      <c r="A71" s="146" t="s">
        <v>54</v>
      </c>
      <c r="B71" s="147"/>
      <c r="C71" s="84"/>
      <c r="D71" s="84"/>
      <c r="E71" s="84">
        <v>200</v>
      </c>
      <c r="F71" s="84"/>
      <c r="G71" s="84">
        <f>+E71</f>
        <v>200</v>
      </c>
      <c r="H71" s="84"/>
      <c r="I71" s="84"/>
      <c r="J71" s="84"/>
      <c r="K71" s="88"/>
      <c r="L71" s="141"/>
    </row>
    <row r="72" spans="1:13" ht="10.8" customHeight="1" x14ac:dyDescent="0.25">
      <c r="A72" s="148" t="s">
        <v>162</v>
      </c>
      <c r="B72" s="68"/>
      <c r="C72" s="68"/>
      <c r="D72" s="68"/>
      <c r="E72" s="68">
        <v>92.94</v>
      </c>
      <c r="F72" s="68"/>
      <c r="G72" s="68">
        <f>+E72</f>
        <v>92.94</v>
      </c>
      <c r="H72" s="68"/>
      <c r="I72" s="68"/>
      <c r="J72" s="68"/>
      <c r="K72" s="128"/>
      <c r="L72" s="136">
        <f t="shared" ref="L72" si="15">+I72-C72</f>
        <v>0</v>
      </c>
    </row>
    <row r="73" spans="1:13" ht="13.8" x14ac:dyDescent="0.25">
      <c r="A73" s="92"/>
      <c r="B73" s="149"/>
    </row>
    <row r="74" spans="1:13" ht="13.8" x14ac:dyDescent="0.25">
      <c r="A74" s="113" t="s">
        <v>193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5"/>
      <c r="L74" s="114"/>
      <c r="M74" s="70"/>
    </row>
    <row r="75" spans="1:13" ht="27.6" x14ac:dyDescent="0.25">
      <c r="A75" s="66" t="s">
        <v>180</v>
      </c>
      <c r="B75" s="67"/>
      <c r="C75" s="68">
        <v>0</v>
      </c>
      <c r="D75" s="68"/>
      <c r="E75" s="68">
        <v>0</v>
      </c>
      <c r="F75" s="68">
        <v>0</v>
      </c>
      <c r="G75" s="68">
        <v>0</v>
      </c>
      <c r="H75" s="68"/>
      <c r="I75" s="68">
        <v>5000</v>
      </c>
      <c r="J75" s="68"/>
      <c r="K75" s="128"/>
      <c r="L75" s="136">
        <f t="shared" ref="L75" si="16">+I75-C75</f>
        <v>5000</v>
      </c>
    </row>
    <row r="76" spans="1:13" ht="13.8" x14ac:dyDescent="0.25">
      <c r="A76" s="92"/>
      <c r="B76" s="150"/>
    </row>
    <row r="77" spans="1:13" ht="13.8" x14ac:dyDescent="0.25">
      <c r="A77" s="151" t="s">
        <v>181</v>
      </c>
      <c r="B77" s="152"/>
      <c r="C77" s="153">
        <f>SUM(C38:C76)</f>
        <v>71335.08</v>
      </c>
      <c r="D77" s="154"/>
      <c r="E77" s="153">
        <f>SUM(E38:E73)</f>
        <v>33382.910000000003</v>
      </c>
      <c r="F77" s="153">
        <f>SUM(F38:F76)</f>
        <v>10171.14</v>
      </c>
      <c r="G77" s="153">
        <f>SUM(G38:G76)</f>
        <v>44283.37</v>
      </c>
      <c r="H77" s="154"/>
      <c r="I77" s="153">
        <f>SUM(I38:I76)</f>
        <v>81812.2</v>
      </c>
      <c r="J77" s="154"/>
      <c r="K77" s="154"/>
      <c r="L77" s="153">
        <f t="shared" ref="L77" si="17">+I77-C77</f>
        <v>10477.119999999995</v>
      </c>
      <c r="M77" s="71"/>
    </row>
    <row r="78" spans="1:13" x14ac:dyDescent="0.25">
      <c r="K78" s="77"/>
    </row>
    <row r="79" spans="1:13" s="49" customFormat="1" ht="15.6" x14ac:dyDescent="0.25">
      <c r="A79" s="65" t="s">
        <v>183</v>
      </c>
      <c r="B79" s="62"/>
      <c r="C79" s="61"/>
      <c r="D79" s="61"/>
      <c r="E79" s="61"/>
      <c r="F79" s="61"/>
      <c r="G79" s="61"/>
      <c r="H79" s="61"/>
      <c r="I79" s="61"/>
      <c r="J79" s="63"/>
      <c r="K79" s="64"/>
      <c r="L79" s="61"/>
      <c r="M79" s="63"/>
    </row>
    <row r="80" spans="1:13" ht="13.8" x14ac:dyDescent="0.25">
      <c r="A80" s="155"/>
      <c r="B80" s="156"/>
      <c r="C80" s="157"/>
      <c r="D80" s="157"/>
      <c r="E80" s="157"/>
      <c r="F80" s="157"/>
      <c r="G80" s="158" t="s">
        <v>170</v>
      </c>
      <c r="H80" s="158"/>
      <c r="I80" s="158" t="s">
        <v>122</v>
      </c>
      <c r="J80" s="157"/>
      <c r="K80" s="159"/>
      <c r="L80" s="157"/>
      <c r="M80" s="72"/>
    </row>
    <row r="81" spans="1:13" ht="13.8" x14ac:dyDescent="0.25">
      <c r="A81" s="160" t="s">
        <v>169</v>
      </c>
      <c r="B81" s="161"/>
      <c r="C81" s="162"/>
      <c r="D81" s="162"/>
      <c r="E81" s="162"/>
      <c r="F81" s="162"/>
      <c r="G81" s="163">
        <v>49835.08</v>
      </c>
      <c r="H81" s="164"/>
      <c r="I81" s="164">
        <v>61.72</v>
      </c>
      <c r="J81" s="162"/>
      <c r="K81" s="165"/>
      <c r="L81" s="162"/>
      <c r="M81" s="73"/>
    </row>
    <row r="82" spans="1:13" ht="13.8" x14ac:dyDescent="0.25">
      <c r="A82" s="166"/>
      <c r="B82" s="161"/>
      <c r="C82" s="162"/>
      <c r="D82" s="162"/>
      <c r="E82" s="162"/>
      <c r="F82" s="162"/>
      <c r="G82" s="167"/>
      <c r="H82" s="162"/>
      <c r="I82" s="162"/>
      <c r="J82" s="162"/>
      <c r="K82" s="167"/>
      <c r="L82" s="162"/>
      <c r="M82" s="73"/>
    </row>
    <row r="83" spans="1:13" ht="13.8" x14ac:dyDescent="0.25">
      <c r="A83" s="160" t="s">
        <v>171</v>
      </c>
      <c r="B83" s="162"/>
      <c r="C83" s="168"/>
      <c r="D83" s="162"/>
      <c r="E83" s="162"/>
      <c r="F83" s="162"/>
      <c r="G83" s="169" t="s">
        <v>126</v>
      </c>
      <c r="H83" s="170"/>
      <c r="I83" s="170" t="s">
        <v>127</v>
      </c>
      <c r="J83" s="162"/>
      <c r="K83" s="167"/>
      <c r="L83" s="162"/>
      <c r="M83" s="73"/>
    </row>
    <row r="84" spans="1:13" x14ac:dyDescent="0.25">
      <c r="A84" s="171" t="s">
        <v>108</v>
      </c>
      <c r="B84" s="162"/>
      <c r="C84" s="162"/>
      <c r="D84" s="162"/>
      <c r="E84" s="162"/>
      <c r="F84" s="162"/>
      <c r="G84" s="172">
        <f>+I77</f>
        <v>81812.2</v>
      </c>
      <c r="H84" s="162"/>
      <c r="I84" s="162"/>
      <c r="J84" s="162"/>
      <c r="K84" s="167"/>
      <c r="L84" s="162"/>
      <c r="M84" s="73"/>
    </row>
    <row r="85" spans="1:13" x14ac:dyDescent="0.25">
      <c r="A85" s="171" t="s">
        <v>109</v>
      </c>
      <c r="B85" s="162"/>
      <c r="C85" s="162"/>
      <c r="D85" s="162"/>
      <c r="E85" s="162"/>
      <c r="F85" s="162"/>
      <c r="G85" s="172">
        <f>+G77-C77</f>
        <v>-27051.71</v>
      </c>
      <c r="H85" s="162"/>
      <c r="I85" s="162"/>
      <c r="J85" s="162"/>
      <c r="K85" s="167"/>
      <c r="L85" s="162"/>
      <c r="M85" s="73"/>
    </row>
    <row r="86" spans="1:13" x14ac:dyDescent="0.25">
      <c r="A86" s="171" t="s">
        <v>107</v>
      </c>
      <c r="B86" s="162"/>
      <c r="C86" s="162"/>
      <c r="D86" s="162"/>
      <c r="E86" s="162"/>
      <c r="F86" s="162"/>
      <c r="G86" s="163">
        <f>+G85+G84</f>
        <v>54760.49</v>
      </c>
      <c r="H86" s="164"/>
      <c r="I86" s="173">
        <f>+I92/G92*G86</f>
        <v>67.820046497366903</v>
      </c>
      <c r="J86" s="162"/>
      <c r="K86" s="167"/>
      <c r="L86" s="162"/>
      <c r="M86" s="73"/>
    </row>
    <row r="87" spans="1:13" x14ac:dyDescent="0.25">
      <c r="A87" s="171" t="s">
        <v>25</v>
      </c>
      <c r="B87" s="162"/>
      <c r="C87" s="162"/>
      <c r="D87" s="162"/>
      <c r="E87" s="162"/>
      <c r="F87" s="162"/>
      <c r="G87" s="167"/>
      <c r="H87" s="162"/>
      <c r="I87" s="168"/>
      <c r="J87" s="162"/>
      <c r="K87" s="167"/>
      <c r="L87" s="162"/>
      <c r="M87" s="73"/>
    </row>
    <row r="88" spans="1:13" x14ac:dyDescent="0.25">
      <c r="A88" s="171"/>
      <c r="B88" s="162"/>
      <c r="C88" s="162"/>
      <c r="D88" s="162"/>
      <c r="E88" s="162"/>
      <c r="F88" s="162"/>
      <c r="G88" s="169" t="s">
        <v>126</v>
      </c>
      <c r="H88" s="170"/>
      <c r="I88" s="170" t="s">
        <v>127</v>
      </c>
      <c r="J88" s="170"/>
      <c r="K88" s="169" t="s">
        <v>172</v>
      </c>
      <c r="L88" s="162"/>
      <c r="M88" s="73"/>
    </row>
    <row r="89" spans="1:13" x14ac:dyDescent="0.25">
      <c r="A89" s="171" t="s">
        <v>173</v>
      </c>
      <c r="B89" s="162"/>
      <c r="C89" s="162"/>
      <c r="D89" s="162"/>
      <c r="E89" s="162"/>
      <c r="F89" s="162"/>
      <c r="G89" s="163">
        <f>+G86-G81</f>
        <v>4925.4099999999962</v>
      </c>
      <c r="H89" s="164"/>
      <c r="I89" s="173">
        <f>+I86-I81</f>
        <v>6.100046497366904</v>
      </c>
      <c r="J89" s="162"/>
      <c r="K89" s="174">
        <f>+I89/I81%</f>
        <v>9.8834194707824121</v>
      </c>
      <c r="L89" s="162"/>
      <c r="M89" s="73"/>
    </row>
    <row r="90" spans="1:13" ht="7.8" hidden="1" customHeight="1" x14ac:dyDescent="0.25">
      <c r="A90" s="175" t="s">
        <v>167</v>
      </c>
      <c r="M90" s="73"/>
    </row>
    <row r="91" spans="1:13" ht="13.8" hidden="1" x14ac:dyDescent="0.25">
      <c r="A91" s="176" t="s">
        <v>168</v>
      </c>
      <c r="B91" s="150"/>
      <c r="G91" s="78" t="s">
        <v>126</v>
      </c>
      <c r="I91" s="78" t="s">
        <v>122</v>
      </c>
      <c r="M91" s="73"/>
    </row>
    <row r="92" spans="1:13" ht="13.8" hidden="1" x14ac:dyDescent="0.25">
      <c r="A92" s="177" t="s">
        <v>65</v>
      </c>
      <c r="B92" s="150"/>
      <c r="G92" s="178">
        <v>49835.08</v>
      </c>
      <c r="I92" s="77">
        <v>61.72</v>
      </c>
      <c r="M92" s="73"/>
    </row>
    <row r="93" spans="1:13" ht="13.8" hidden="1" x14ac:dyDescent="0.25">
      <c r="A93" s="177" t="s">
        <v>66</v>
      </c>
      <c r="B93" s="150"/>
      <c r="G93" s="178">
        <v>515.83000000000004</v>
      </c>
      <c r="M93" s="73"/>
    </row>
    <row r="94" spans="1:13" ht="13.8" hidden="1" x14ac:dyDescent="0.25">
      <c r="A94" s="177" t="s">
        <v>68</v>
      </c>
      <c r="G94" s="178">
        <v>340</v>
      </c>
      <c r="M94" s="73"/>
    </row>
    <row r="95" spans="1:13" ht="7.2" hidden="1" customHeight="1" x14ac:dyDescent="0.25">
      <c r="A95" s="177" t="s">
        <v>67</v>
      </c>
      <c r="G95" s="179">
        <v>38.71</v>
      </c>
      <c r="M95" s="73"/>
    </row>
    <row r="96" spans="1:13" ht="12" hidden="1" customHeight="1" x14ac:dyDescent="0.25">
      <c r="A96" s="180"/>
      <c r="G96" s="178">
        <f>SUM(G92:G95)</f>
        <v>50729.62</v>
      </c>
      <c r="M96" s="73"/>
    </row>
    <row r="97" spans="1:13" x14ac:dyDescent="0.25">
      <c r="A97" s="181"/>
      <c r="B97" s="182"/>
      <c r="C97" s="182"/>
      <c r="D97" s="182"/>
      <c r="E97" s="182"/>
      <c r="F97" s="182"/>
      <c r="G97" s="182"/>
      <c r="H97" s="182"/>
      <c r="I97" s="182"/>
      <c r="J97" s="182"/>
      <c r="K97" s="183"/>
      <c r="L97" s="182"/>
      <c r="M97" s="74"/>
    </row>
    <row r="111" spans="1:13" x14ac:dyDescent="0.25">
      <c r="C111" s="184"/>
    </row>
    <row r="113" spans="1:13" s="184" customFormat="1" x14ac:dyDescent="0.25">
      <c r="A113" s="77"/>
      <c r="B113" s="77"/>
      <c r="C113" s="77"/>
      <c r="K113" s="185"/>
      <c r="M113" s="75"/>
    </row>
  </sheetData>
  <mergeCells count="1">
    <mergeCell ref="C1:G1"/>
  </mergeCells>
  <printOptions gridLines="1"/>
  <pageMargins left="0.23622047244094491" right="0.23622047244094491" top="1.1330314960629921" bottom="0.74803149606299213" header="0.31496062992125984" footer="0.31496062992125984"/>
  <pageSetup scale="87" orientation="landscape" r:id="rId1"/>
  <headerFooter alignWithMargins="0">
    <oddHeader>&amp;F</oddHeader>
    <oddFooter>Page &amp;P of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B9BD-B941-4A8E-A66E-1D4D7BB1EBF3}">
  <sheetPr>
    <tabColor theme="0" tint="-0.14999847407452621"/>
  </sheetPr>
  <dimension ref="A1:Q118"/>
  <sheetViews>
    <sheetView showGridLines="0" zoomScaleNormal="100" workbookViewId="0">
      <pane xSplit="1" ySplit="2" topLeftCell="B55" activePane="bottomRight" state="frozenSplit"/>
      <selection pane="topRight" activeCell="B1" sqref="B1"/>
      <selection pane="bottomLeft" activeCell="A4" sqref="A4"/>
      <selection pane="bottomRight" activeCell="L55" sqref="L55"/>
    </sheetView>
  </sheetViews>
  <sheetFormatPr defaultColWidth="8.77734375" defaultRowHeight="13.2" outlineLevelCol="1" x14ac:dyDescent="0.25"/>
  <cols>
    <col min="1" max="1" width="63.33203125" style="77" customWidth="1"/>
    <col min="2" max="2" width="8.77734375" style="77" customWidth="1"/>
    <col min="3" max="3" width="9.109375" style="77" customWidth="1"/>
    <col min="4" max="4" width="2.44140625" style="77" customWidth="1"/>
    <col min="5" max="5" width="10.44140625" style="77" customWidth="1" outlineLevel="1"/>
    <col min="6" max="6" width="8.33203125" style="77" customWidth="1" outlineLevel="1"/>
    <col min="7" max="7" width="9" style="77" customWidth="1"/>
    <col min="8" max="8" width="2.88671875" style="77" customWidth="1"/>
    <col min="9" max="9" width="10.44140625" style="77" bestFit="1" customWidth="1"/>
    <col min="10" max="10" width="2.44140625" style="77" customWidth="1"/>
    <col min="11" max="11" width="8.5546875" style="93" customWidth="1"/>
    <col min="12" max="12" width="10.44140625" style="77" bestFit="1" customWidth="1"/>
    <col min="13" max="16" width="10.44140625" style="77" customWidth="1"/>
    <col min="17" max="17" width="89.6640625" style="49" customWidth="1"/>
    <col min="18" max="16384" width="8.77734375" style="77"/>
  </cols>
  <sheetData>
    <row r="1" spans="1:17" x14ac:dyDescent="0.25">
      <c r="A1" s="76"/>
      <c r="C1" s="408" t="s">
        <v>96</v>
      </c>
      <c r="D1" s="408"/>
      <c r="E1" s="408"/>
      <c r="F1" s="408"/>
      <c r="G1" s="408"/>
      <c r="H1" s="78"/>
      <c r="I1" s="79" t="s">
        <v>62</v>
      </c>
      <c r="K1" s="80" t="s">
        <v>99</v>
      </c>
      <c r="L1" s="81" t="s">
        <v>100</v>
      </c>
      <c r="M1" s="187">
        <v>46113</v>
      </c>
      <c r="N1" s="81"/>
      <c r="O1" s="81"/>
      <c r="P1" s="81"/>
      <c r="Q1" s="47" t="s">
        <v>163</v>
      </c>
    </row>
    <row r="2" spans="1:17" s="49" customFormat="1" ht="39.6" x14ac:dyDescent="0.25">
      <c r="A2" s="47" t="s">
        <v>184</v>
      </c>
      <c r="B2" s="48"/>
      <c r="C2" s="47" t="s">
        <v>94</v>
      </c>
      <c r="D2" s="47"/>
      <c r="E2" s="47" t="s">
        <v>95</v>
      </c>
      <c r="F2" s="47" t="s">
        <v>97</v>
      </c>
      <c r="G2" s="47" t="s">
        <v>111</v>
      </c>
      <c r="H2" s="47"/>
      <c r="I2" s="47" t="s">
        <v>98</v>
      </c>
      <c r="K2" s="50" t="s">
        <v>130</v>
      </c>
      <c r="L2" s="47" t="s">
        <v>131</v>
      </c>
      <c r="M2" s="47"/>
      <c r="N2" s="47"/>
      <c r="O2" s="47"/>
      <c r="P2" s="47"/>
      <c r="Q2" s="49">
        <f>+Q16*0.15</f>
        <v>913.8</v>
      </c>
    </row>
    <row r="3" spans="1:17" s="49" customFormat="1" ht="15.6" x14ac:dyDescent="0.25">
      <c r="A3" s="65" t="s">
        <v>182</v>
      </c>
      <c r="B3" s="62"/>
      <c r="C3" s="61"/>
      <c r="D3" s="61"/>
      <c r="E3" s="61"/>
      <c r="F3" s="61"/>
      <c r="G3" s="61"/>
      <c r="H3" s="61"/>
      <c r="I3" s="61"/>
      <c r="J3" s="63"/>
      <c r="K3" s="64"/>
      <c r="L3" s="61"/>
      <c r="M3" s="61"/>
      <c r="N3" s="61"/>
      <c r="O3" s="61"/>
      <c r="P3" s="61"/>
      <c r="Q3" s="63"/>
    </row>
    <row r="4" spans="1:17" s="49" customFormat="1" ht="13.8" x14ac:dyDescent="0.25">
      <c r="A4" s="56" t="s">
        <v>176</v>
      </c>
      <c r="B4" s="57"/>
      <c r="C4" s="58"/>
      <c r="D4" s="58"/>
      <c r="E4" s="58"/>
      <c r="F4" s="58"/>
      <c r="G4" s="58"/>
      <c r="H4" s="58"/>
      <c r="I4" s="58"/>
      <c r="J4" s="82"/>
      <c r="K4" s="59"/>
      <c r="L4" s="60"/>
      <c r="M4" s="60"/>
      <c r="N4" s="60"/>
      <c r="O4" s="60"/>
      <c r="P4" s="60"/>
      <c r="Q4" s="60"/>
    </row>
    <row r="5" spans="1:17" ht="24.6" customHeight="1" x14ac:dyDescent="0.25">
      <c r="A5" s="83" t="s">
        <v>14</v>
      </c>
      <c r="B5" s="84"/>
      <c r="C5" s="84">
        <v>15000</v>
      </c>
      <c r="D5" s="84"/>
      <c r="E5" s="85">
        <v>7283.44</v>
      </c>
      <c r="F5" s="86">
        <v>1389</v>
      </c>
      <c r="G5" s="85">
        <v>8672</v>
      </c>
      <c r="H5" s="87"/>
      <c r="I5" s="224">
        <v>11092.2</v>
      </c>
      <c r="J5" s="87"/>
      <c r="K5" s="85">
        <f>+G5-C5</f>
        <v>-6328</v>
      </c>
      <c r="L5" s="84">
        <f>+I5-C5</f>
        <v>-3907.7999999999993</v>
      </c>
      <c r="M5" s="84"/>
      <c r="N5" s="84"/>
      <c r="O5" s="84"/>
      <c r="P5" s="84"/>
      <c r="Q5" s="69" t="s">
        <v>151</v>
      </c>
    </row>
    <row r="6" spans="1:17" ht="13.8" x14ac:dyDescent="0.25">
      <c r="A6" s="83" t="s">
        <v>190</v>
      </c>
      <c r="B6" s="84"/>
      <c r="C6" s="84">
        <v>0</v>
      </c>
      <c r="D6" s="84"/>
      <c r="E6" s="85">
        <v>0</v>
      </c>
      <c r="F6" s="86">
        <v>240</v>
      </c>
      <c r="G6" s="85">
        <v>1892.3199999999997</v>
      </c>
      <c r="H6" s="87"/>
      <c r="I6" s="224">
        <v>0</v>
      </c>
      <c r="J6" s="87"/>
      <c r="K6" s="85">
        <f>16.93*12*52</f>
        <v>10564.32</v>
      </c>
      <c r="L6" s="84">
        <f>+I6-C6</f>
        <v>0</v>
      </c>
      <c r="M6" s="84"/>
      <c r="N6" s="84"/>
      <c r="O6" s="84"/>
      <c r="P6" s="84"/>
      <c r="Q6" s="69" t="s">
        <v>191</v>
      </c>
    </row>
    <row r="7" spans="1:17" ht="13.8" x14ac:dyDescent="0.25">
      <c r="A7" s="83" t="s">
        <v>141</v>
      </c>
      <c r="B7" s="84"/>
      <c r="C7" s="84">
        <v>0</v>
      </c>
      <c r="D7" s="84"/>
      <c r="E7" s="85">
        <v>2122.14</v>
      </c>
      <c r="F7" s="86">
        <v>0</v>
      </c>
      <c r="G7" s="85">
        <v>2250</v>
      </c>
      <c r="H7" s="87"/>
      <c r="I7" s="224">
        <v>3500</v>
      </c>
      <c r="J7" s="87"/>
      <c r="K7" s="85">
        <f t="shared" ref="K7:K36" si="0">+G7-C7</f>
        <v>2250</v>
      </c>
      <c r="L7" s="84">
        <f t="shared" ref="L7:L36" si="1">+I7-C7</f>
        <v>3500</v>
      </c>
      <c r="M7" s="84"/>
      <c r="N7" s="84"/>
      <c r="O7" s="84"/>
      <c r="P7" s="84"/>
      <c r="Q7" s="49" t="s">
        <v>142</v>
      </c>
    </row>
    <row r="8" spans="1:17" ht="13.8" x14ac:dyDescent="0.25">
      <c r="A8" s="83" t="s">
        <v>1</v>
      </c>
      <c r="B8" s="84"/>
      <c r="C8" s="84">
        <v>500</v>
      </c>
      <c r="D8" s="84"/>
      <c r="E8" s="85">
        <v>672.06</v>
      </c>
      <c r="F8" s="86">
        <v>493.72</v>
      </c>
      <c r="G8" s="85">
        <v>1165.78</v>
      </c>
      <c r="H8" s="87"/>
      <c r="I8" s="224">
        <v>504</v>
      </c>
      <c r="J8" s="87"/>
      <c r="K8" s="85">
        <f t="shared" si="0"/>
        <v>665.78</v>
      </c>
      <c r="L8" s="84">
        <f t="shared" si="1"/>
        <v>4</v>
      </c>
      <c r="M8" s="84"/>
      <c r="N8" s="84"/>
      <c r="O8" s="84"/>
      <c r="P8" s="84"/>
      <c r="Q8" s="69" t="s">
        <v>187</v>
      </c>
    </row>
    <row r="9" spans="1:17" s="91" customFormat="1" ht="13.8" x14ac:dyDescent="0.25">
      <c r="A9" s="83" t="s">
        <v>157</v>
      </c>
      <c r="B9" s="89"/>
      <c r="C9" s="87">
        <v>200</v>
      </c>
      <c r="D9" s="87"/>
      <c r="E9" s="85" t="s">
        <v>37</v>
      </c>
      <c r="F9" s="89">
        <v>0</v>
      </c>
      <c r="G9" s="90"/>
      <c r="H9" s="89"/>
      <c r="I9" s="225">
        <v>400</v>
      </c>
      <c r="J9" s="89"/>
      <c r="K9" s="88">
        <f>+G9-C9</f>
        <v>-200</v>
      </c>
      <c r="L9" s="84">
        <f>+I9-C9</f>
        <v>200</v>
      </c>
      <c r="M9" s="84"/>
      <c r="N9" s="84"/>
      <c r="O9" s="84"/>
      <c r="P9" s="84"/>
      <c r="Q9" s="69" t="s">
        <v>188</v>
      </c>
    </row>
    <row r="10" spans="1:17" ht="13.8" x14ac:dyDescent="0.25">
      <c r="A10" s="83" t="s">
        <v>101</v>
      </c>
      <c r="B10" s="84"/>
      <c r="C10" s="87">
        <v>0</v>
      </c>
      <c r="D10" s="87"/>
      <c r="E10" s="88">
        <v>0</v>
      </c>
      <c r="F10" s="88">
        <v>600</v>
      </c>
      <c r="G10" s="88">
        <v>600</v>
      </c>
      <c r="H10" s="84"/>
      <c r="I10" s="226">
        <v>200</v>
      </c>
      <c r="J10" s="84"/>
      <c r="K10" s="88">
        <f>+G10-C10</f>
        <v>600</v>
      </c>
      <c r="L10" s="84">
        <f t="shared" ref="L10" si="2">+I10-C10</f>
        <v>200</v>
      </c>
      <c r="M10" s="84"/>
      <c r="N10" s="84"/>
      <c r="O10" s="84"/>
      <c r="P10" s="84"/>
      <c r="Q10" s="69" t="s">
        <v>189</v>
      </c>
    </row>
    <row r="11" spans="1:17" ht="13.8" x14ac:dyDescent="0.25">
      <c r="A11" s="83" t="s">
        <v>18</v>
      </c>
      <c r="B11" s="84"/>
      <c r="C11" s="84">
        <v>200</v>
      </c>
      <c r="D11" s="84"/>
      <c r="E11" s="88" t="s">
        <v>37</v>
      </c>
      <c r="F11" s="86">
        <v>0</v>
      </c>
      <c r="G11" s="88">
        <v>160</v>
      </c>
      <c r="H11" s="84"/>
      <c r="I11" s="224">
        <v>160</v>
      </c>
      <c r="J11" s="84"/>
      <c r="K11" s="88">
        <f t="shared" si="0"/>
        <v>-40</v>
      </c>
      <c r="L11" s="88">
        <f>+I11-C11</f>
        <v>-40</v>
      </c>
      <c r="M11" s="88"/>
      <c r="N11" s="88"/>
      <c r="O11" s="88"/>
      <c r="P11" s="88"/>
      <c r="Q11" s="69" t="s">
        <v>186</v>
      </c>
    </row>
    <row r="12" spans="1:17" ht="13.8" x14ac:dyDescent="0.25">
      <c r="A12" s="83" t="s">
        <v>136</v>
      </c>
      <c r="B12" s="84"/>
      <c r="C12" s="84">
        <v>0</v>
      </c>
      <c r="D12" s="84"/>
      <c r="E12" s="88">
        <v>0</v>
      </c>
      <c r="F12" s="84">
        <v>0</v>
      </c>
      <c r="G12" s="88">
        <v>0</v>
      </c>
      <c r="H12" s="84"/>
      <c r="I12" s="224">
        <v>582</v>
      </c>
      <c r="J12" s="84"/>
      <c r="K12" s="88">
        <f>+G12-C12</f>
        <v>0</v>
      </c>
      <c r="L12" s="88">
        <f>+I12-C12</f>
        <v>582</v>
      </c>
      <c r="M12" s="88"/>
      <c r="N12" s="88"/>
      <c r="O12" s="88"/>
      <c r="P12" s="88"/>
      <c r="Q12" s="49" t="s">
        <v>135</v>
      </c>
    </row>
    <row r="13" spans="1:17" ht="13.8" x14ac:dyDescent="0.25">
      <c r="A13" s="83" t="s">
        <v>149</v>
      </c>
      <c r="B13" s="84"/>
      <c r="C13" s="84">
        <v>0</v>
      </c>
      <c r="D13" s="84"/>
      <c r="E13" s="88">
        <v>0</v>
      </c>
      <c r="F13" s="84">
        <v>0</v>
      </c>
      <c r="G13" s="88">
        <v>0</v>
      </c>
      <c r="H13" s="84"/>
      <c r="I13" s="224">
        <v>0</v>
      </c>
      <c r="J13" s="84"/>
      <c r="K13" s="88">
        <f>+G13-C13</f>
        <v>0</v>
      </c>
      <c r="L13" s="88">
        <f>+I13-C13</f>
        <v>0</v>
      </c>
      <c r="M13" s="88"/>
      <c r="N13" s="88"/>
      <c r="O13" s="88"/>
      <c r="P13" s="88"/>
      <c r="Q13" s="69" t="s">
        <v>148</v>
      </c>
    </row>
    <row r="14" spans="1:17" ht="13.8" x14ac:dyDescent="0.25">
      <c r="A14" s="83" t="s">
        <v>144</v>
      </c>
      <c r="B14" s="84"/>
      <c r="C14" s="84">
        <v>920.08</v>
      </c>
      <c r="D14" s="84"/>
      <c r="E14" s="88">
        <v>958.16</v>
      </c>
      <c r="F14" s="84">
        <v>0</v>
      </c>
      <c r="G14" s="88">
        <v>958.16</v>
      </c>
      <c r="H14" s="84"/>
      <c r="I14" s="224">
        <v>997</v>
      </c>
      <c r="J14" s="84"/>
      <c r="K14" s="88">
        <f>+G14-C14</f>
        <v>38.079999999999927</v>
      </c>
      <c r="L14" s="88">
        <f>+I14-C14</f>
        <v>76.919999999999959</v>
      </c>
      <c r="M14" s="88"/>
      <c r="N14" s="88"/>
      <c r="O14" s="88"/>
      <c r="P14" s="88"/>
      <c r="Q14" s="49">
        <v>11092</v>
      </c>
    </row>
    <row r="15" spans="1:17" ht="13.8" x14ac:dyDescent="0.25">
      <c r="A15" s="83" t="s">
        <v>12</v>
      </c>
      <c r="B15" s="84"/>
      <c r="C15" s="84">
        <v>240</v>
      </c>
      <c r="D15" s="84"/>
      <c r="E15" s="88">
        <v>240</v>
      </c>
      <c r="F15" s="84">
        <v>0</v>
      </c>
      <c r="G15" s="88">
        <v>250</v>
      </c>
      <c r="H15" s="88"/>
      <c r="I15" s="224">
        <v>260</v>
      </c>
      <c r="J15" s="88"/>
      <c r="K15" s="88">
        <f t="shared" si="0"/>
        <v>10</v>
      </c>
      <c r="L15" s="88">
        <f t="shared" si="1"/>
        <v>20</v>
      </c>
      <c r="M15" s="88"/>
      <c r="N15" s="88"/>
      <c r="O15" s="88"/>
      <c r="P15" s="88"/>
      <c r="Q15" s="49">
        <v>5000</v>
      </c>
    </row>
    <row r="16" spans="1:17" ht="13.8" x14ac:dyDescent="0.25">
      <c r="A16" s="83" t="s">
        <v>8</v>
      </c>
      <c r="B16" s="84"/>
      <c r="C16" s="84">
        <v>75</v>
      </c>
      <c r="D16" s="84"/>
      <c r="E16" s="88">
        <v>119</v>
      </c>
      <c r="F16" s="84">
        <v>0</v>
      </c>
      <c r="G16" s="88">
        <v>119</v>
      </c>
      <c r="H16" s="88"/>
      <c r="I16" s="224">
        <v>124</v>
      </c>
      <c r="J16" s="88"/>
      <c r="K16" s="88">
        <f>+G16-C16</f>
        <v>44</v>
      </c>
      <c r="L16" s="88">
        <f>+I16-C16</f>
        <v>49</v>
      </c>
      <c r="M16" s="88"/>
      <c r="N16" s="88"/>
      <c r="O16" s="88"/>
      <c r="P16" s="88"/>
      <c r="Q16" s="49">
        <f>+Q14-Q15</f>
        <v>6092</v>
      </c>
    </row>
    <row r="17" spans="1:17" ht="13.8" x14ac:dyDescent="0.25">
      <c r="A17" s="83" t="s">
        <v>36</v>
      </c>
      <c r="B17" s="84"/>
      <c r="C17" s="84">
        <v>450</v>
      </c>
      <c r="D17" s="84"/>
      <c r="E17" s="88">
        <v>252.99</v>
      </c>
      <c r="F17" s="84">
        <v>0</v>
      </c>
      <c r="G17" s="88">
        <v>252.99</v>
      </c>
      <c r="H17" s="88"/>
      <c r="I17" s="224">
        <v>450</v>
      </c>
      <c r="J17" s="88"/>
      <c r="K17" s="88">
        <f>+G17-C17</f>
        <v>-197.01</v>
      </c>
      <c r="L17" s="88">
        <f>+I17-C17</f>
        <v>0</v>
      </c>
      <c r="M17" s="88"/>
      <c r="N17" s="88"/>
      <c r="O17" s="88"/>
      <c r="P17" s="88"/>
      <c r="Q17" s="69" t="s">
        <v>145</v>
      </c>
    </row>
    <row r="18" spans="1:17" ht="13.8" x14ac:dyDescent="0.25">
      <c r="A18" s="83" t="s">
        <v>133</v>
      </c>
      <c r="B18" s="84"/>
      <c r="C18" s="84">
        <v>7500</v>
      </c>
      <c r="D18" s="84"/>
      <c r="E18" s="88">
        <v>6250</v>
      </c>
      <c r="F18" s="84">
        <v>1250</v>
      </c>
      <c r="G18" s="88">
        <v>7500</v>
      </c>
      <c r="H18" s="88"/>
      <c r="I18" s="224">
        <v>7808</v>
      </c>
      <c r="J18" s="88"/>
      <c r="K18" s="88">
        <f t="shared" si="0"/>
        <v>0</v>
      </c>
      <c r="L18" s="88">
        <f t="shared" si="1"/>
        <v>308</v>
      </c>
      <c r="M18" s="88"/>
      <c r="N18" s="88"/>
      <c r="O18" s="88"/>
      <c r="P18" s="88"/>
      <c r="Q18" s="49" t="s">
        <v>113</v>
      </c>
    </row>
    <row r="19" spans="1:17" ht="13.8" x14ac:dyDescent="0.25">
      <c r="A19" s="83" t="s">
        <v>134</v>
      </c>
      <c r="B19" s="84"/>
      <c r="C19" s="84">
        <v>500</v>
      </c>
      <c r="D19" s="84"/>
      <c r="E19" s="88">
        <v>30</v>
      </c>
      <c r="F19" s="84">
        <v>400</v>
      </c>
      <c r="G19" s="88">
        <v>500</v>
      </c>
      <c r="H19" s="88"/>
      <c r="I19" s="224">
        <v>521</v>
      </c>
      <c r="J19" s="88"/>
      <c r="K19" s="88">
        <f t="shared" si="0"/>
        <v>0</v>
      </c>
      <c r="L19" s="88">
        <f t="shared" si="1"/>
        <v>21</v>
      </c>
      <c r="M19" s="88"/>
      <c r="N19" s="88"/>
      <c r="O19" s="88"/>
      <c r="P19" s="88"/>
    </row>
    <row r="20" spans="1:17" ht="13.8" x14ac:dyDescent="0.25">
      <c r="A20" s="83" t="s">
        <v>22</v>
      </c>
      <c r="B20" s="84"/>
      <c r="C20" s="84">
        <v>8500</v>
      </c>
      <c r="D20" s="84"/>
      <c r="E20" s="88">
        <v>5410.26</v>
      </c>
      <c r="F20" s="88">
        <v>1803.42</v>
      </c>
      <c r="G20" s="88">
        <v>7213.68</v>
      </c>
      <c r="H20" s="88"/>
      <c r="I20" s="224">
        <v>7250</v>
      </c>
      <c r="J20" s="88"/>
      <c r="K20" s="88">
        <f t="shared" si="0"/>
        <v>-1286.3199999999997</v>
      </c>
      <c r="L20" s="88">
        <f t="shared" si="1"/>
        <v>-1250</v>
      </c>
      <c r="M20" s="88"/>
      <c r="N20" s="88"/>
      <c r="O20" s="88"/>
      <c r="P20" s="88"/>
    </row>
    <row r="21" spans="1:17" ht="13.8" x14ac:dyDescent="0.25">
      <c r="A21" s="83" t="s">
        <v>146</v>
      </c>
      <c r="B21" s="84"/>
      <c r="C21" s="84">
        <v>1500</v>
      </c>
      <c r="D21" s="84"/>
      <c r="E21" s="85">
        <v>0</v>
      </c>
      <c r="F21" s="88">
        <v>1500</v>
      </c>
      <c r="G21" s="88">
        <v>1500</v>
      </c>
      <c r="H21" s="84"/>
      <c r="I21" s="226">
        <v>1562</v>
      </c>
      <c r="J21" s="84"/>
      <c r="K21" s="88">
        <f>+G21-C21</f>
        <v>0</v>
      </c>
      <c r="L21" s="84">
        <f>+I21-C21</f>
        <v>62</v>
      </c>
      <c r="M21" s="84"/>
      <c r="N21" s="84"/>
      <c r="O21" s="84"/>
      <c r="P21" s="84"/>
      <c r="Q21" s="69" t="s">
        <v>147</v>
      </c>
    </row>
    <row r="22" spans="1:17" ht="13.8" x14ac:dyDescent="0.25">
      <c r="A22" s="83" t="s">
        <v>139</v>
      </c>
      <c r="B22" s="84"/>
      <c r="C22" s="84">
        <v>0</v>
      </c>
      <c r="D22" s="84"/>
      <c r="E22" s="88">
        <v>0</v>
      </c>
      <c r="F22" s="84">
        <v>0</v>
      </c>
      <c r="G22" s="88">
        <v>0</v>
      </c>
      <c r="H22" s="84"/>
      <c r="I22" s="226">
        <v>250</v>
      </c>
      <c r="J22" s="84"/>
      <c r="K22" s="88">
        <f t="shared" ref="K22" si="3">+G22-C22</f>
        <v>0</v>
      </c>
      <c r="L22" s="84">
        <f t="shared" ref="L22" si="4">+I22-C22</f>
        <v>250</v>
      </c>
      <c r="M22" s="84"/>
      <c r="N22" s="84"/>
      <c r="O22" s="84"/>
      <c r="P22" s="84"/>
      <c r="Q22" s="49" t="s">
        <v>140</v>
      </c>
    </row>
    <row r="23" spans="1:17" ht="13.8" x14ac:dyDescent="0.25">
      <c r="A23" s="83" t="s">
        <v>150</v>
      </c>
      <c r="B23" s="84"/>
      <c r="C23" s="84">
        <v>800</v>
      </c>
      <c r="D23" s="84"/>
      <c r="E23" s="88">
        <v>0</v>
      </c>
      <c r="F23" s="84">
        <v>800</v>
      </c>
      <c r="G23" s="88">
        <v>800</v>
      </c>
      <c r="H23" s="84"/>
      <c r="I23" s="226">
        <v>833</v>
      </c>
      <c r="J23" s="84"/>
      <c r="K23" s="88">
        <f t="shared" si="0"/>
        <v>0</v>
      </c>
      <c r="L23" s="84">
        <f t="shared" si="1"/>
        <v>33</v>
      </c>
      <c r="M23" s="84"/>
      <c r="N23" s="84"/>
      <c r="O23" s="84"/>
      <c r="P23" s="84"/>
    </row>
    <row r="24" spans="1:17" ht="13.8" x14ac:dyDescent="0.25">
      <c r="A24" s="83" t="s">
        <v>7</v>
      </c>
      <c r="B24" s="84"/>
      <c r="C24" s="84">
        <v>200</v>
      </c>
      <c r="D24" s="84"/>
      <c r="E24" s="85">
        <v>0</v>
      </c>
      <c r="F24" s="84">
        <v>200</v>
      </c>
      <c r="G24" s="88">
        <v>200</v>
      </c>
      <c r="H24" s="84"/>
      <c r="I24" s="226">
        <v>250</v>
      </c>
      <c r="J24" s="84"/>
      <c r="K24" s="88">
        <f>+G24-C24</f>
        <v>0</v>
      </c>
      <c r="L24" s="84">
        <f>+I24-C24</f>
        <v>50</v>
      </c>
      <c r="M24" s="84"/>
      <c r="N24" s="84"/>
      <c r="O24" s="84"/>
      <c r="P24" s="84"/>
    </row>
    <row r="25" spans="1:17" ht="13.8" x14ac:dyDescent="0.25">
      <c r="A25" s="83" t="s">
        <v>13</v>
      </c>
      <c r="B25" s="84"/>
      <c r="C25" s="84">
        <v>30</v>
      </c>
      <c r="D25" s="84"/>
      <c r="E25" s="88">
        <v>30</v>
      </c>
      <c r="F25" s="84">
        <v>0</v>
      </c>
      <c r="G25" s="88">
        <v>30</v>
      </c>
      <c r="H25" s="84"/>
      <c r="I25" s="226">
        <v>31</v>
      </c>
      <c r="J25" s="84"/>
      <c r="K25" s="88">
        <f t="shared" si="0"/>
        <v>0</v>
      </c>
      <c r="L25" s="84">
        <f t="shared" si="1"/>
        <v>1</v>
      </c>
      <c r="M25" s="84"/>
      <c r="N25" s="84"/>
      <c r="O25" s="84"/>
      <c r="P25" s="84"/>
    </row>
    <row r="26" spans="1:17" ht="13.8" x14ac:dyDescent="0.25">
      <c r="A26" s="83" t="s">
        <v>15</v>
      </c>
      <c r="B26" s="84"/>
      <c r="C26" s="84">
        <v>250</v>
      </c>
      <c r="D26" s="84"/>
      <c r="E26" s="88">
        <v>250</v>
      </c>
      <c r="F26" s="84">
        <v>0</v>
      </c>
      <c r="G26" s="88">
        <v>250</v>
      </c>
      <c r="H26" s="84"/>
      <c r="I26" s="226">
        <v>260</v>
      </c>
      <c r="J26" s="84"/>
      <c r="K26" s="88">
        <f t="shared" si="0"/>
        <v>0</v>
      </c>
      <c r="L26" s="84">
        <f t="shared" si="1"/>
        <v>10</v>
      </c>
      <c r="M26" s="84"/>
      <c r="N26" s="84"/>
      <c r="O26" s="84"/>
      <c r="P26" s="84"/>
    </row>
    <row r="27" spans="1:17" ht="13.8" x14ac:dyDescent="0.25">
      <c r="A27" s="83" t="s">
        <v>20</v>
      </c>
      <c r="B27" s="84"/>
      <c r="C27" s="87">
        <v>500</v>
      </c>
      <c r="D27" s="87"/>
      <c r="E27" s="88">
        <v>0</v>
      </c>
      <c r="F27" s="88">
        <v>500</v>
      </c>
      <c r="G27" s="88">
        <v>500</v>
      </c>
      <c r="H27" s="84"/>
      <c r="I27" s="226">
        <v>521</v>
      </c>
      <c r="J27" s="84"/>
      <c r="K27" s="88">
        <f>+G27-C27</f>
        <v>0</v>
      </c>
      <c r="L27" s="84">
        <f>+I27-C27</f>
        <v>21</v>
      </c>
      <c r="M27" s="84"/>
      <c r="N27" s="84"/>
      <c r="O27" s="84"/>
      <c r="P27" s="84"/>
      <c r="Q27" s="69" t="s">
        <v>160</v>
      </c>
    </row>
    <row r="28" spans="1:17" ht="13.8" x14ac:dyDescent="0.25">
      <c r="A28" s="83" t="s">
        <v>153</v>
      </c>
      <c r="B28" s="84"/>
      <c r="C28" s="84">
        <v>2000</v>
      </c>
      <c r="D28" s="84"/>
      <c r="E28" s="88">
        <v>0</v>
      </c>
      <c r="F28" s="84">
        <v>0</v>
      </c>
      <c r="G28" s="88">
        <v>0</v>
      </c>
      <c r="H28" s="84"/>
      <c r="I28" s="226">
        <v>1700</v>
      </c>
      <c r="J28" s="84"/>
      <c r="K28" s="88">
        <f t="shared" si="0"/>
        <v>-2000</v>
      </c>
      <c r="L28" s="84">
        <f t="shared" si="1"/>
        <v>-300</v>
      </c>
      <c r="M28" s="84"/>
      <c r="N28" s="84"/>
      <c r="O28" s="84"/>
      <c r="P28" s="84"/>
      <c r="Q28" s="69" t="s">
        <v>152</v>
      </c>
    </row>
    <row r="29" spans="1:17" ht="13.8" x14ac:dyDescent="0.25">
      <c r="A29" s="83" t="s">
        <v>154</v>
      </c>
      <c r="B29" s="84"/>
      <c r="C29" s="84">
        <v>250</v>
      </c>
      <c r="D29" s="84"/>
      <c r="E29" s="88">
        <v>0</v>
      </c>
      <c r="F29" s="84">
        <v>250</v>
      </c>
      <c r="G29" s="88">
        <v>250</v>
      </c>
      <c r="H29" s="84"/>
      <c r="I29" s="226">
        <v>260</v>
      </c>
      <c r="J29" s="84"/>
      <c r="K29" s="88">
        <f t="shared" si="0"/>
        <v>0</v>
      </c>
      <c r="L29" s="84">
        <f t="shared" si="1"/>
        <v>10</v>
      </c>
      <c r="M29" s="84"/>
      <c r="N29" s="84"/>
      <c r="O29" s="84"/>
      <c r="P29" s="84"/>
    </row>
    <row r="30" spans="1:17" s="78" customFormat="1" ht="13.8" x14ac:dyDescent="0.25">
      <c r="A30" s="83" t="s">
        <v>155</v>
      </c>
      <c r="B30" s="87"/>
      <c r="C30" s="87">
        <v>5000</v>
      </c>
      <c r="D30" s="85"/>
      <c r="E30" s="85">
        <v>22.5</v>
      </c>
      <c r="F30" s="84"/>
      <c r="G30" s="88">
        <v>22.5</v>
      </c>
      <c r="H30" s="87"/>
      <c r="I30" s="226">
        <v>0</v>
      </c>
      <c r="J30" s="87"/>
      <c r="K30" s="88">
        <f t="shared" si="0"/>
        <v>-4977.5</v>
      </c>
      <c r="L30" s="84">
        <f t="shared" si="1"/>
        <v>-5000</v>
      </c>
      <c r="M30" s="84"/>
      <c r="N30" s="84"/>
      <c r="O30" s="84"/>
      <c r="P30" s="84"/>
      <c r="Q30" s="69" t="s">
        <v>112</v>
      </c>
    </row>
    <row r="31" spans="1:17" s="91" customFormat="1" ht="13.8" x14ac:dyDescent="0.25">
      <c r="A31" s="83" t="s">
        <v>17</v>
      </c>
      <c r="B31" s="89"/>
      <c r="C31" s="87">
        <v>750</v>
      </c>
      <c r="D31" s="89"/>
      <c r="E31" s="85">
        <v>0</v>
      </c>
      <c r="F31" s="89">
        <v>0</v>
      </c>
      <c r="G31" s="88">
        <v>0</v>
      </c>
      <c r="H31" s="89"/>
      <c r="I31" s="226">
        <v>500</v>
      </c>
      <c r="J31" s="89"/>
      <c r="K31" s="88">
        <f t="shared" si="0"/>
        <v>-750</v>
      </c>
      <c r="L31" s="84">
        <f t="shared" si="1"/>
        <v>-250</v>
      </c>
      <c r="M31" s="84"/>
      <c r="N31" s="84"/>
      <c r="O31" s="84"/>
      <c r="P31" s="84"/>
      <c r="Q31" s="69" t="s">
        <v>156</v>
      </c>
    </row>
    <row r="32" spans="1:17" ht="13.8" x14ac:dyDescent="0.25">
      <c r="A32" s="83" t="s">
        <v>129</v>
      </c>
      <c r="B32" s="84"/>
      <c r="C32" s="87">
        <v>4000</v>
      </c>
      <c r="D32" s="87"/>
      <c r="E32" s="88">
        <v>595</v>
      </c>
      <c r="F32" s="87">
        <v>500</v>
      </c>
      <c r="G32" s="88">
        <v>595</v>
      </c>
      <c r="H32" s="84"/>
      <c r="I32" s="227">
        <v>15000</v>
      </c>
      <c r="J32" s="84"/>
      <c r="K32" s="88">
        <f t="shared" si="0"/>
        <v>-3405</v>
      </c>
      <c r="L32" s="84">
        <f t="shared" si="1"/>
        <v>11000</v>
      </c>
      <c r="M32" s="84"/>
      <c r="N32" s="84"/>
      <c r="O32" s="84"/>
      <c r="P32" s="84"/>
      <c r="Q32" s="69" t="s">
        <v>158</v>
      </c>
    </row>
    <row r="33" spans="1:17" ht="13.8" x14ac:dyDescent="0.25">
      <c r="A33" s="83" t="s">
        <v>11</v>
      </c>
      <c r="B33" s="84"/>
      <c r="C33" s="84">
        <v>420</v>
      </c>
      <c r="D33" s="84"/>
      <c r="E33" s="85">
        <v>504</v>
      </c>
      <c r="F33" s="84">
        <v>0</v>
      </c>
      <c r="G33" s="88">
        <v>504</v>
      </c>
      <c r="H33" s="84"/>
      <c r="I33" s="226">
        <v>600</v>
      </c>
      <c r="J33" s="84"/>
      <c r="K33" s="88">
        <f>+G33-C33</f>
        <v>84</v>
      </c>
      <c r="L33" s="84">
        <f>+I33-C33</f>
        <v>180</v>
      </c>
      <c r="M33" s="84"/>
      <c r="N33" s="84"/>
      <c r="O33" s="84"/>
      <c r="P33" s="84"/>
      <c r="Q33" s="69" t="s">
        <v>159</v>
      </c>
    </row>
    <row r="34" spans="1:17" ht="13.8" x14ac:dyDescent="0.25">
      <c r="A34" s="83" t="s">
        <v>23</v>
      </c>
      <c r="B34" s="84"/>
      <c r="C34" s="87">
        <v>350</v>
      </c>
      <c r="D34" s="84"/>
      <c r="E34" s="85">
        <v>180.42</v>
      </c>
      <c r="F34" s="84">
        <v>45</v>
      </c>
      <c r="G34" s="88">
        <v>225.42</v>
      </c>
      <c r="H34" s="84"/>
      <c r="I34" s="226">
        <v>235</v>
      </c>
      <c r="J34" s="84"/>
      <c r="K34" s="88">
        <f>+G34-C34</f>
        <v>-124.58000000000001</v>
      </c>
      <c r="L34" s="84">
        <f>+I34-C34</f>
        <v>-115</v>
      </c>
      <c r="M34" s="84"/>
      <c r="N34" s="84"/>
      <c r="O34" s="84"/>
      <c r="P34" s="84"/>
    </row>
    <row r="35" spans="1:17" ht="13.8" x14ac:dyDescent="0.25">
      <c r="A35" s="83" t="s">
        <v>21</v>
      </c>
      <c r="B35" s="84"/>
      <c r="C35" s="87">
        <v>500</v>
      </c>
      <c r="D35" s="87"/>
      <c r="E35" s="85" t="s">
        <v>37</v>
      </c>
      <c r="F35" s="84">
        <v>0</v>
      </c>
      <c r="G35" s="90">
        <v>0</v>
      </c>
      <c r="H35" s="84"/>
      <c r="I35" s="227">
        <v>0</v>
      </c>
      <c r="J35" s="84"/>
      <c r="K35" s="88">
        <f t="shared" si="0"/>
        <v>-500</v>
      </c>
      <c r="L35" s="84">
        <f t="shared" si="1"/>
        <v>-500</v>
      </c>
      <c r="M35" s="84"/>
      <c r="N35" s="84"/>
      <c r="O35" s="84"/>
      <c r="P35" s="84"/>
      <c r="Q35" s="69" t="s">
        <v>185</v>
      </c>
    </row>
    <row r="36" spans="1:17" ht="13.8" x14ac:dyDescent="0.25">
      <c r="A36" s="83" t="s">
        <v>26</v>
      </c>
      <c r="B36" s="84"/>
      <c r="C36" s="87">
        <v>200</v>
      </c>
      <c r="D36" s="87"/>
      <c r="E36" s="88">
        <v>0</v>
      </c>
      <c r="F36" s="88">
        <v>200</v>
      </c>
      <c r="G36" s="88">
        <v>200</v>
      </c>
      <c r="H36" s="84"/>
      <c r="I36" s="226">
        <v>260</v>
      </c>
      <c r="J36" s="84"/>
      <c r="K36" s="88">
        <f t="shared" si="0"/>
        <v>0</v>
      </c>
      <c r="L36" s="84">
        <f t="shared" si="1"/>
        <v>60</v>
      </c>
      <c r="M36" s="84"/>
      <c r="N36" s="84"/>
      <c r="O36" s="84"/>
      <c r="P36" s="84"/>
      <c r="Q36" s="69" t="s">
        <v>161</v>
      </c>
    </row>
    <row r="37" spans="1:17" ht="13.8" x14ac:dyDescent="0.25">
      <c r="A37" s="83"/>
      <c r="B37" s="84"/>
      <c r="C37" s="87"/>
      <c r="D37" s="87"/>
      <c r="E37" s="88"/>
      <c r="F37" s="88"/>
      <c r="G37" s="88"/>
      <c r="H37" s="84"/>
      <c r="I37" s="226"/>
      <c r="J37" s="84"/>
      <c r="K37" s="88"/>
      <c r="L37" s="84"/>
      <c r="M37" s="84"/>
      <c r="N37" s="84"/>
      <c r="O37" s="84"/>
      <c r="P37" s="84"/>
      <c r="Q37" s="69"/>
    </row>
    <row r="38" spans="1:17" ht="13.8" x14ac:dyDescent="0.25">
      <c r="A38" s="83"/>
      <c r="B38" s="84"/>
      <c r="C38" s="87"/>
      <c r="D38" s="87"/>
      <c r="E38" s="88"/>
      <c r="F38" s="84"/>
      <c r="G38" s="88"/>
      <c r="H38" s="84"/>
      <c r="I38" s="227"/>
      <c r="J38" s="84"/>
      <c r="K38" s="88"/>
      <c r="L38" s="84"/>
      <c r="M38" s="84"/>
      <c r="N38" s="84"/>
      <c r="O38" s="84"/>
      <c r="P38" s="84"/>
    </row>
    <row r="39" spans="1:17" ht="13.8" x14ac:dyDescent="0.25">
      <c r="A39" s="113" t="s">
        <v>177</v>
      </c>
      <c r="B39" s="114"/>
      <c r="C39" s="199">
        <f>SUM(C5:C36)</f>
        <v>50835.08</v>
      </c>
      <c r="D39" s="199"/>
      <c r="E39" s="199">
        <v>24919.97</v>
      </c>
      <c r="F39" s="199">
        <v>10171.14</v>
      </c>
      <c r="G39" s="199">
        <v>36610.85</v>
      </c>
      <c r="H39" s="199"/>
      <c r="I39" s="199">
        <v>56110.2</v>
      </c>
      <c r="J39" s="199"/>
      <c r="K39" s="200">
        <f>SUM(K5:K38)</f>
        <v>-5552.2300000000005</v>
      </c>
      <c r="L39" s="199">
        <f>SUM(L5:L38)</f>
        <v>5275.1200000000008</v>
      </c>
      <c r="M39" s="114"/>
      <c r="N39" s="114"/>
      <c r="O39" s="114"/>
      <c r="P39" s="114"/>
      <c r="Q39" s="70"/>
    </row>
    <row r="40" spans="1:17" ht="13.8" x14ac:dyDescent="0.25">
      <c r="A40" s="92"/>
      <c r="D40" s="81"/>
      <c r="Q40" s="49">
        <f>3788+1833</f>
        <v>5621</v>
      </c>
    </row>
    <row r="41" spans="1:17" ht="16.2" customHeight="1" x14ac:dyDescent="0.25">
      <c r="A41" s="99" t="s">
        <v>178</v>
      </c>
      <c r="B41" s="100" t="s">
        <v>179</v>
      </c>
      <c r="C41" s="101"/>
      <c r="D41" s="102"/>
      <c r="E41" s="101"/>
      <c r="F41" s="101"/>
      <c r="G41" s="101"/>
      <c r="H41" s="101"/>
      <c r="I41" s="101"/>
      <c r="J41" s="101"/>
      <c r="K41" s="103"/>
    </row>
    <row r="42" spans="1:17" ht="13.8" x14ac:dyDescent="0.25">
      <c r="A42" s="104" t="s">
        <v>92</v>
      </c>
      <c r="B42" s="105"/>
      <c r="C42" s="105"/>
      <c r="D42" s="106"/>
      <c r="E42" s="105"/>
      <c r="F42" s="105"/>
      <c r="G42" s="105"/>
      <c r="H42" s="105"/>
      <c r="I42" s="105"/>
      <c r="J42" s="105"/>
      <c r="K42" s="107"/>
    </row>
    <row r="43" spans="1:17" ht="13.8" x14ac:dyDescent="0.25">
      <c r="A43" s="104" t="s">
        <v>57</v>
      </c>
      <c r="B43" s="108">
        <v>40</v>
      </c>
      <c r="C43" s="105"/>
      <c r="D43" s="105"/>
      <c r="E43" s="105"/>
      <c r="F43" s="105"/>
      <c r="G43" s="105"/>
      <c r="H43" s="105"/>
      <c r="I43" s="105">
        <v>42</v>
      </c>
      <c r="J43" s="105"/>
      <c r="K43" s="107"/>
    </row>
    <row r="44" spans="1:17" ht="13.8" x14ac:dyDescent="0.25">
      <c r="A44" s="104" t="s">
        <v>56</v>
      </c>
      <c r="B44" s="108">
        <v>332</v>
      </c>
      <c r="C44" s="105"/>
      <c r="D44" s="105"/>
      <c r="E44" s="105"/>
      <c r="F44" s="105"/>
      <c r="G44" s="105"/>
      <c r="H44" s="105"/>
      <c r="I44" s="105">
        <v>0</v>
      </c>
      <c r="J44" s="105"/>
      <c r="K44" s="107"/>
    </row>
    <row r="45" spans="1:17" ht="13.8" x14ac:dyDescent="0.25">
      <c r="A45" s="104" t="s">
        <v>58</v>
      </c>
      <c r="B45" s="108">
        <v>28.78</v>
      </c>
      <c r="C45" s="105"/>
      <c r="D45" s="105"/>
      <c r="E45" s="105"/>
      <c r="F45" s="105"/>
      <c r="G45" s="105"/>
      <c r="H45" s="105"/>
      <c r="I45" s="105">
        <v>30</v>
      </c>
      <c r="J45" s="105"/>
      <c r="K45" s="107"/>
    </row>
    <row r="46" spans="1:17" ht="13.8" x14ac:dyDescent="0.25">
      <c r="A46" s="104" t="s">
        <v>106</v>
      </c>
      <c r="B46" s="108">
        <f>12.36*12</f>
        <v>148.32</v>
      </c>
      <c r="C46" s="105"/>
      <c r="D46" s="105"/>
      <c r="E46" s="105"/>
      <c r="F46" s="105"/>
      <c r="G46" s="105"/>
      <c r="H46" s="105"/>
      <c r="I46" s="105">
        <v>154</v>
      </c>
      <c r="J46" s="105"/>
      <c r="K46" s="107"/>
    </row>
    <row r="47" spans="1:17" ht="13.8" x14ac:dyDescent="0.25">
      <c r="A47" s="109"/>
      <c r="B47" s="110">
        <f>SUM(B43:B46)</f>
        <v>549.09999999999991</v>
      </c>
      <c r="C47" s="111"/>
      <c r="D47" s="111"/>
      <c r="E47" s="111"/>
      <c r="F47" s="111"/>
      <c r="G47" s="111"/>
      <c r="H47" s="111"/>
      <c r="I47" s="110">
        <v>226</v>
      </c>
      <c r="J47" s="111"/>
      <c r="K47" s="112"/>
    </row>
    <row r="48" spans="1:17" ht="13.8" x14ac:dyDescent="0.25">
      <c r="A48" s="94"/>
    </row>
    <row r="49" spans="1:17" ht="13.8" x14ac:dyDescent="0.25">
      <c r="A49" s="113" t="s">
        <v>175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5"/>
      <c r="L49" s="114"/>
      <c r="M49" s="114"/>
      <c r="N49" s="114"/>
      <c r="O49" s="114"/>
      <c r="P49" s="114"/>
      <c r="Q49" s="70"/>
    </row>
    <row r="50" spans="1:17" s="78" customFormat="1" ht="13.8" x14ac:dyDescent="0.25">
      <c r="A50" s="116" t="s">
        <v>126</v>
      </c>
      <c r="B50" s="117"/>
      <c r="C50" s="117">
        <v>3500</v>
      </c>
      <c r="D50" s="118"/>
      <c r="E50" s="117"/>
      <c r="F50" s="117"/>
      <c r="G50" s="117"/>
      <c r="H50" s="117"/>
      <c r="I50" s="117"/>
      <c r="J50" s="117"/>
      <c r="K50" s="117"/>
      <c r="L50" s="188"/>
      <c r="M50" s="84"/>
      <c r="N50" s="84"/>
      <c r="O50" s="84"/>
      <c r="P50" s="84"/>
      <c r="Q50" s="69" t="s">
        <v>196</v>
      </c>
    </row>
    <row r="51" spans="1:17" s="78" customFormat="1" ht="41.4" x14ac:dyDescent="0.25">
      <c r="A51" s="121" t="s">
        <v>195</v>
      </c>
      <c r="B51" s="87"/>
      <c r="C51" s="87"/>
      <c r="D51" s="122"/>
      <c r="E51" s="87"/>
      <c r="F51" s="87"/>
      <c r="G51" s="87"/>
      <c r="H51" s="87"/>
      <c r="I51" s="87"/>
      <c r="J51" s="87"/>
      <c r="K51" s="85"/>
      <c r="L51" s="123"/>
      <c r="M51" s="87"/>
      <c r="N51" s="87"/>
      <c r="O51" s="87"/>
      <c r="P51" s="87"/>
      <c r="Q51" s="69"/>
    </row>
    <row r="52" spans="1:17" s="78" customFormat="1" ht="13.8" x14ac:dyDescent="0.25">
      <c r="A52" s="124" t="s">
        <v>39</v>
      </c>
      <c r="B52" s="125"/>
      <c r="C52" s="126"/>
      <c r="D52" s="127"/>
      <c r="E52" s="125">
        <v>3000</v>
      </c>
      <c r="F52" s="125">
        <v>0</v>
      </c>
      <c r="G52" s="128">
        <v>3000</v>
      </c>
      <c r="H52" s="125"/>
      <c r="I52" s="87"/>
      <c r="J52" s="87"/>
      <c r="K52" s="87"/>
      <c r="L52" s="123"/>
      <c r="M52" s="87"/>
      <c r="N52" s="87"/>
      <c r="O52" s="87"/>
      <c r="P52" s="87"/>
      <c r="Q52" s="69"/>
    </row>
    <row r="53" spans="1:17" s="78" customFormat="1" ht="13.8" x14ac:dyDescent="0.25">
      <c r="A53" s="113" t="s">
        <v>126</v>
      </c>
      <c r="B53" s="189"/>
      <c r="C53" s="190"/>
      <c r="D53" s="191"/>
      <c r="E53" s="189"/>
      <c r="F53" s="189"/>
      <c r="G53" s="192"/>
      <c r="H53" s="189"/>
      <c r="I53" s="193">
        <v>4250</v>
      </c>
      <c r="J53" s="193"/>
      <c r="K53" s="194"/>
      <c r="L53" s="195">
        <f>+I53-C50</f>
        <v>750</v>
      </c>
      <c r="M53" s="87"/>
      <c r="N53" s="87"/>
      <c r="O53" s="87"/>
      <c r="P53" s="87"/>
      <c r="Q53" s="69"/>
    </row>
    <row r="54" spans="1:17" s="78" customFormat="1" ht="13.8" x14ac:dyDescent="0.25">
      <c r="A54" s="92"/>
      <c r="D54" s="130"/>
      <c r="K54" s="131"/>
      <c r="Q54" s="69"/>
    </row>
    <row r="55" spans="1:17" ht="13.8" x14ac:dyDescent="0.25">
      <c r="A55" s="113" t="s">
        <v>194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5"/>
      <c r="L55" s="195"/>
      <c r="M55" s="82"/>
      <c r="N55" s="82"/>
      <c r="O55" s="82"/>
      <c r="P55" s="82"/>
      <c r="Q55" s="60"/>
    </row>
    <row r="56" spans="1:17" ht="13.8" x14ac:dyDescent="0.25">
      <c r="A56" s="139" t="s">
        <v>126</v>
      </c>
      <c r="B56" s="84"/>
      <c r="C56" s="84"/>
      <c r="D56" s="84"/>
      <c r="E56" s="84"/>
      <c r="F56" s="84"/>
      <c r="G56" s="84"/>
      <c r="H56" s="84"/>
      <c r="I56" s="84"/>
      <c r="J56" s="84"/>
      <c r="K56" s="88"/>
      <c r="L56" s="141"/>
      <c r="M56" s="84"/>
      <c r="N56" s="84"/>
      <c r="O56" s="84"/>
      <c r="P56" s="84"/>
    </row>
    <row r="57" spans="1:17" ht="13.8" x14ac:dyDescent="0.25">
      <c r="A57" s="124" t="s">
        <v>93</v>
      </c>
      <c r="B57" s="68"/>
      <c r="C57" s="68"/>
      <c r="D57" s="125"/>
      <c r="E57" s="68">
        <v>170</v>
      </c>
      <c r="F57" s="68">
        <v>0</v>
      </c>
      <c r="G57" s="128">
        <v>170</v>
      </c>
      <c r="H57" s="68"/>
      <c r="I57" s="68"/>
      <c r="J57" s="68"/>
      <c r="K57" s="128"/>
      <c r="L57" s="136"/>
      <c r="M57" s="84">
        <v>0</v>
      </c>
      <c r="N57" s="84"/>
      <c r="O57" s="84"/>
      <c r="P57" s="84"/>
    </row>
    <row r="58" spans="1:17" ht="13.8" x14ac:dyDescent="0.25">
      <c r="A58" s="113" t="s">
        <v>126</v>
      </c>
      <c r="B58" s="196"/>
      <c r="C58" s="114">
        <v>3000</v>
      </c>
      <c r="D58" s="193"/>
      <c r="E58" s="114"/>
      <c r="F58" s="114"/>
      <c r="G58" s="114"/>
      <c r="H58" s="114"/>
      <c r="I58" s="193">
        <v>3000</v>
      </c>
      <c r="J58" s="114"/>
      <c r="K58" s="115"/>
      <c r="L58" s="195">
        <f t="shared" ref="L58" si="5">+I58-C58</f>
        <v>0</v>
      </c>
      <c r="M58" s="84"/>
      <c r="N58" s="84"/>
      <c r="O58" s="84"/>
      <c r="P58" s="84"/>
    </row>
    <row r="59" spans="1:17" ht="13.8" x14ac:dyDescent="0.25">
      <c r="A59" s="92"/>
      <c r="D59" s="78"/>
    </row>
    <row r="60" spans="1:17" ht="13.8" x14ac:dyDescent="0.25">
      <c r="A60" s="113" t="s">
        <v>174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5"/>
      <c r="L60" s="114"/>
      <c r="M60" s="114"/>
      <c r="N60" s="114"/>
      <c r="O60" s="114"/>
      <c r="P60" s="114"/>
      <c r="Q60" s="70"/>
    </row>
    <row r="61" spans="1:17" ht="13.8" x14ac:dyDescent="0.25">
      <c r="A61" s="116" t="s">
        <v>198</v>
      </c>
      <c r="B61" s="134"/>
      <c r="C61" s="134">
        <v>4000</v>
      </c>
      <c r="D61" s="117"/>
      <c r="E61" s="134">
        <v>0</v>
      </c>
      <c r="F61" s="134">
        <v>0</v>
      </c>
      <c r="G61" s="134">
        <v>0</v>
      </c>
      <c r="H61" s="134"/>
      <c r="I61" s="117">
        <v>3000</v>
      </c>
      <c r="J61" s="134"/>
      <c r="K61" s="135"/>
      <c r="L61" s="120">
        <f t="shared" ref="L61" si="6">+I61-C61</f>
        <v>-1000</v>
      </c>
      <c r="M61" s="84"/>
      <c r="N61" s="84"/>
      <c r="O61" s="84"/>
      <c r="P61" s="84"/>
      <c r="Q61" s="69"/>
    </row>
    <row r="62" spans="1:17" ht="13.8" x14ac:dyDescent="0.25">
      <c r="A62" s="137"/>
      <c r="B62" s="68"/>
      <c r="C62" s="68"/>
      <c r="D62" s="125"/>
      <c r="E62" s="68"/>
      <c r="F62" s="68"/>
      <c r="G62" s="68"/>
      <c r="H62" s="68"/>
      <c r="I62" s="68"/>
      <c r="J62" s="68"/>
      <c r="K62" s="128"/>
      <c r="L62" s="136"/>
      <c r="M62" s="84"/>
      <c r="N62" s="84"/>
      <c r="O62" s="84"/>
      <c r="P62" s="84"/>
    </row>
    <row r="63" spans="1:17" ht="13.8" x14ac:dyDescent="0.25">
      <c r="A63" s="113" t="s">
        <v>126</v>
      </c>
      <c r="B63" s="114"/>
      <c r="C63" s="114">
        <v>4000</v>
      </c>
      <c r="D63" s="193"/>
      <c r="E63" s="114">
        <v>0</v>
      </c>
      <c r="F63" s="114">
        <v>0</v>
      </c>
      <c r="G63" s="114">
        <v>0</v>
      </c>
      <c r="H63" s="114"/>
      <c r="I63" s="193">
        <v>3000</v>
      </c>
      <c r="J63" s="114"/>
      <c r="K63" s="115"/>
      <c r="L63" s="195">
        <f t="shared" ref="L63" si="7">+I63-C63</f>
        <v>-1000</v>
      </c>
      <c r="M63" s="84"/>
      <c r="N63" s="84"/>
      <c r="O63" s="84"/>
      <c r="P63" s="84"/>
    </row>
    <row r="64" spans="1:17" ht="13.8" x14ac:dyDescent="0.25">
      <c r="A64" s="138"/>
      <c r="D64" s="78"/>
    </row>
    <row r="65" spans="1:17" ht="13.8" x14ac:dyDescent="0.25">
      <c r="A65" s="113" t="s">
        <v>197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5"/>
      <c r="L65" s="114"/>
      <c r="M65" s="114"/>
      <c r="N65" s="114"/>
      <c r="O65" s="114"/>
      <c r="P65" s="114"/>
      <c r="Q65" s="70"/>
    </row>
    <row r="66" spans="1:17" ht="13.8" x14ac:dyDescent="0.25">
      <c r="A66" s="139" t="s">
        <v>41</v>
      </c>
      <c r="B66" s="84"/>
      <c r="C66" s="84"/>
      <c r="D66" s="85"/>
      <c r="E66" s="140">
        <v>5000</v>
      </c>
      <c r="F66" s="84"/>
      <c r="G66" s="140">
        <v>4209.58</v>
      </c>
      <c r="H66" s="84"/>
      <c r="I66" s="84"/>
      <c r="J66" s="84"/>
      <c r="K66" s="88"/>
      <c r="L66" s="141"/>
      <c r="M66" s="84">
        <v>0</v>
      </c>
      <c r="N66" s="84"/>
      <c r="O66" s="84"/>
      <c r="P66" s="84"/>
    </row>
    <row r="67" spans="1:17" ht="13.8" x14ac:dyDescent="0.25">
      <c r="A67" s="142" t="s">
        <v>164</v>
      </c>
      <c r="B67" s="84">
        <v>24.58</v>
      </c>
      <c r="C67" s="84"/>
      <c r="D67" s="85"/>
      <c r="E67" s="84"/>
      <c r="F67" s="84"/>
      <c r="G67" s="84"/>
      <c r="H67" s="84"/>
      <c r="I67" s="84"/>
      <c r="J67" s="84"/>
      <c r="K67" s="88"/>
      <c r="L67" s="141"/>
      <c r="M67" s="84"/>
      <c r="N67" s="84"/>
      <c r="O67" s="84"/>
      <c r="P67" s="84"/>
    </row>
    <row r="68" spans="1:17" ht="13.8" x14ac:dyDescent="0.25">
      <c r="A68" s="142" t="s">
        <v>165</v>
      </c>
      <c r="B68" s="84">
        <v>450</v>
      </c>
      <c r="C68" s="84"/>
      <c r="D68" s="85"/>
      <c r="E68" s="84"/>
      <c r="F68" s="84"/>
      <c r="G68" s="84"/>
      <c r="H68" s="84"/>
      <c r="I68" s="84"/>
      <c r="J68" s="84"/>
      <c r="K68" s="88"/>
      <c r="L68" s="141"/>
      <c r="M68" s="84"/>
      <c r="N68" s="84"/>
      <c r="O68" s="84"/>
      <c r="P68" s="84"/>
    </row>
    <row r="69" spans="1:17" ht="13.8" x14ac:dyDescent="0.25">
      <c r="A69" s="142" t="s">
        <v>166</v>
      </c>
      <c r="B69" s="84">
        <v>400</v>
      </c>
      <c r="C69" s="84"/>
      <c r="D69" s="143"/>
      <c r="E69" s="84"/>
      <c r="F69" s="84"/>
      <c r="G69" s="84"/>
      <c r="H69" s="84"/>
      <c r="I69" s="84"/>
      <c r="J69" s="84"/>
      <c r="K69" s="88"/>
      <c r="L69" s="141"/>
      <c r="M69" s="84"/>
      <c r="N69" s="84"/>
      <c r="O69" s="84"/>
      <c r="P69" s="84"/>
    </row>
    <row r="70" spans="1:17" ht="13.8" x14ac:dyDescent="0.25">
      <c r="A70" s="142" t="s">
        <v>47</v>
      </c>
      <c r="B70" s="84">
        <v>522.5</v>
      </c>
      <c r="C70" s="84"/>
      <c r="D70" s="84"/>
      <c r="E70" s="84"/>
      <c r="F70" s="84"/>
      <c r="G70" s="84"/>
      <c r="H70" s="84"/>
      <c r="I70" s="84"/>
      <c r="J70" s="84"/>
      <c r="K70" s="88"/>
      <c r="L70" s="141"/>
      <c r="M70" s="84"/>
      <c r="N70" s="84"/>
      <c r="O70" s="84"/>
      <c r="P70" s="84"/>
    </row>
    <row r="71" spans="1:17" ht="13.8" x14ac:dyDescent="0.25">
      <c r="A71" s="142" t="s">
        <v>45</v>
      </c>
      <c r="B71" s="87">
        <v>2572.5</v>
      </c>
      <c r="C71" s="84"/>
      <c r="D71" s="84"/>
      <c r="E71" s="84"/>
      <c r="F71" s="84"/>
      <c r="G71" s="84"/>
      <c r="H71" s="84"/>
      <c r="I71" s="84"/>
      <c r="J71" s="84"/>
      <c r="K71" s="88"/>
      <c r="L71" s="141"/>
      <c r="M71" s="84"/>
      <c r="N71" s="84"/>
      <c r="O71" s="84"/>
      <c r="P71" s="84"/>
    </row>
    <row r="72" spans="1:17" ht="13.8" x14ac:dyDescent="0.25">
      <c r="A72" s="142" t="s">
        <v>46</v>
      </c>
      <c r="B72" s="84">
        <v>240</v>
      </c>
      <c r="C72" s="84"/>
      <c r="D72" s="84"/>
      <c r="E72" s="84"/>
      <c r="F72" s="84"/>
      <c r="G72" s="84"/>
      <c r="H72" s="84"/>
      <c r="I72" s="84"/>
      <c r="J72" s="84"/>
      <c r="K72" s="88"/>
      <c r="L72" s="141"/>
      <c r="M72" s="84"/>
      <c r="N72" s="84"/>
      <c r="O72" s="84"/>
      <c r="P72" s="84"/>
    </row>
    <row r="73" spans="1:17" ht="13.8" x14ac:dyDescent="0.25">
      <c r="A73" s="144" t="s">
        <v>192</v>
      </c>
      <c r="B73" s="143">
        <f>SUM(B67:B72)</f>
        <v>4209.58</v>
      </c>
      <c r="C73" s="145"/>
      <c r="D73" s="84"/>
      <c r="E73" s="84"/>
      <c r="F73" s="84"/>
      <c r="G73" s="84"/>
      <c r="H73" s="84"/>
      <c r="I73" s="84"/>
      <c r="J73" s="84"/>
      <c r="K73" s="88"/>
      <c r="L73" s="141"/>
      <c r="M73" s="84"/>
      <c r="N73" s="84"/>
      <c r="O73" s="84"/>
      <c r="P73" s="84"/>
    </row>
    <row r="74" spans="1:17" ht="13.8" x14ac:dyDescent="0.25">
      <c r="A74" s="146" t="s">
        <v>54</v>
      </c>
      <c r="B74" s="147"/>
      <c r="C74" s="84"/>
      <c r="D74" s="84"/>
      <c r="E74" s="84">
        <v>200</v>
      </c>
      <c r="F74" s="84"/>
      <c r="G74" s="84">
        <v>200</v>
      </c>
      <c r="H74" s="84"/>
      <c r="I74" s="84"/>
      <c r="J74" s="84"/>
      <c r="K74" s="88"/>
      <c r="L74" s="141"/>
      <c r="M74" s="84"/>
      <c r="N74" s="84"/>
      <c r="O74" s="84"/>
      <c r="P74" s="84"/>
    </row>
    <row r="75" spans="1:17" ht="10.8" customHeight="1" x14ac:dyDescent="0.25">
      <c r="A75" s="148" t="s">
        <v>162</v>
      </c>
      <c r="B75" s="68"/>
      <c r="C75" s="68"/>
      <c r="D75" s="68"/>
      <c r="E75" s="68">
        <v>92.94</v>
      </c>
      <c r="F75" s="68"/>
      <c r="G75" s="68">
        <v>92.94</v>
      </c>
      <c r="H75" s="68"/>
      <c r="I75" s="68"/>
      <c r="J75" s="68"/>
      <c r="K75" s="128"/>
      <c r="L75" s="136">
        <f t="shared" ref="L75" si="8">+I75-C75</f>
        <v>0</v>
      </c>
      <c r="M75" s="84"/>
      <c r="N75" s="84"/>
      <c r="O75" s="84"/>
      <c r="P75" s="84"/>
    </row>
    <row r="76" spans="1:17" ht="14.4" customHeight="1" x14ac:dyDescent="0.25">
      <c r="A76" s="113" t="s">
        <v>126</v>
      </c>
      <c r="B76" s="114"/>
      <c r="C76" s="114">
        <v>10000</v>
      </c>
      <c r="D76" s="194"/>
      <c r="E76" s="114"/>
      <c r="F76" s="114"/>
      <c r="G76" s="114"/>
      <c r="H76" s="114"/>
      <c r="I76" s="114">
        <v>10000</v>
      </c>
      <c r="J76" s="114"/>
      <c r="K76" s="115"/>
      <c r="L76" s="195">
        <f t="shared" ref="L76" si="9">+I76-C76</f>
        <v>0</v>
      </c>
      <c r="M76" s="84"/>
      <c r="N76" s="84"/>
      <c r="O76" s="84"/>
      <c r="P76" s="84"/>
    </row>
    <row r="77" spans="1:17" ht="13.8" x14ac:dyDescent="0.25">
      <c r="A77" s="92"/>
      <c r="B77" s="149"/>
    </row>
    <row r="78" spans="1:17" ht="13.8" x14ac:dyDescent="0.25">
      <c r="A78" s="113" t="s">
        <v>193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5"/>
      <c r="L78" s="114"/>
      <c r="M78" s="114"/>
      <c r="N78" s="114"/>
      <c r="O78" s="114"/>
      <c r="P78" s="114"/>
      <c r="Q78" s="70"/>
    </row>
    <row r="79" spans="1:17" ht="27.6" x14ac:dyDescent="0.25">
      <c r="A79" s="66" t="s">
        <v>180</v>
      </c>
      <c r="B79" s="67"/>
      <c r="C79" s="68">
        <v>0</v>
      </c>
      <c r="D79" s="68"/>
      <c r="E79" s="68">
        <v>0</v>
      </c>
      <c r="F79" s="68">
        <v>0</v>
      </c>
      <c r="G79" s="68">
        <v>0</v>
      </c>
      <c r="H79" s="68"/>
      <c r="I79" s="68">
        <v>5000</v>
      </c>
      <c r="J79" s="68"/>
      <c r="K79" s="128"/>
      <c r="L79" s="136">
        <f t="shared" ref="L79" si="10">+I79-C79</f>
        <v>5000</v>
      </c>
      <c r="M79" s="84"/>
      <c r="N79" s="84"/>
      <c r="O79" s="84"/>
      <c r="P79" s="84"/>
    </row>
    <row r="80" spans="1:17" ht="13.8" x14ac:dyDescent="0.25">
      <c r="A80" s="197"/>
      <c r="B80" s="198"/>
      <c r="C80" s="114">
        <v>0</v>
      </c>
      <c r="D80" s="114"/>
      <c r="E80" s="114">
        <v>0</v>
      </c>
      <c r="F80" s="114">
        <v>0</v>
      </c>
      <c r="G80" s="114">
        <v>0</v>
      </c>
      <c r="H80" s="114"/>
      <c r="I80" s="114">
        <v>5000</v>
      </c>
      <c r="J80" s="114"/>
      <c r="K80" s="115"/>
      <c r="L80" s="195">
        <f t="shared" ref="L80" si="11">+I80-C80</f>
        <v>5000</v>
      </c>
      <c r="M80" s="84"/>
      <c r="N80" s="84"/>
      <c r="O80" s="84"/>
      <c r="P80" s="84"/>
    </row>
    <row r="81" spans="1:17" ht="13.8" x14ac:dyDescent="0.25">
      <c r="A81" s="92"/>
      <c r="B81" s="150"/>
    </row>
    <row r="82" spans="1:17" ht="13.8" x14ac:dyDescent="0.25">
      <c r="A82" s="151" t="s">
        <v>181</v>
      </c>
      <c r="B82" s="152"/>
      <c r="C82" s="153">
        <f>SUM(C39:C81)</f>
        <v>75335.08</v>
      </c>
      <c r="D82" s="154"/>
      <c r="E82" s="153">
        <v>33382.910000000003</v>
      </c>
      <c r="F82" s="153">
        <v>10171.14</v>
      </c>
      <c r="G82" s="153">
        <v>44283.37</v>
      </c>
      <c r="H82" s="154"/>
      <c r="I82" s="153">
        <v>81812.2</v>
      </c>
      <c r="J82" s="154"/>
      <c r="K82" s="154"/>
      <c r="L82" s="153">
        <f t="shared" ref="L82" si="12">+I82-C82</f>
        <v>6477.1199999999953</v>
      </c>
      <c r="M82" s="153"/>
      <c r="N82" s="153"/>
      <c r="O82" s="153"/>
      <c r="P82" s="153"/>
      <c r="Q82" s="71"/>
    </row>
    <row r="83" spans="1:17" x14ac:dyDescent="0.25">
      <c r="I83" s="77">
        <f>+I80+I76+I63+I58+I53+I39</f>
        <v>81360.2</v>
      </c>
      <c r="K83" s="77"/>
    </row>
    <row r="84" spans="1:17" s="49" customFormat="1" ht="15.6" x14ac:dyDescent="0.25">
      <c r="A84" s="65" t="s">
        <v>183</v>
      </c>
      <c r="B84" s="62"/>
      <c r="C84" s="61"/>
      <c r="D84" s="61"/>
      <c r="E84" s="61"/>
      <c r="F84" s="61"/>
      <c r="G84" s="61"/>
      <c r="H84" s="61"/>
      <c r="I84" s="61"/>
      <c r="J84" s="63"/>
      <c r="K84" s="64"/>
      <c r="L84" s="61"/>
      <c r="M84" s="61"/>
      <c r="N84" s="61"/>
      <c r="O84" s="61"/>
      <c r="P84" s="61"/>
      <c r="Q84" s="63"/>
    </row>
    <row r="85" spans="1:17" ht="13.8" x14ac:dyDescent="0.25">
      <c r="A85" s="155"/>
      <c r="B85" s="156"/>
      <c r="C85" s="157"/>
      <c r="D85" s="157"/>
      <c r="E85" s="157"/>
      <c r="F85" s="157"/>
      <c r="G85" s="158" t="s">
        <v>170</v>
      </c>
      <c r="H85" s="158"/>
      <c r="I85" s="158" t="s">
        <v>122</v>
      </c>
      <c r="J85" s="157"/>
      <c r="K85" s="159"/>
      <c r="L85" s="157"/>
      <c r="M85" s="157"/>
      <c r="N85" s="157"/>
      <c r="O85" s="157"/>
      <c r="P85" s="157"/>
      <c r="Q85" s="72"/>
    </row>
    <row r="86" spans="1:17" ht="13.8" x14ac:dyDescent="0.25">
      <c r="A86" s="160" t="s">
        <v>169</v>
      </c>
      <c r="B86" s="161"/>
      <c r="C86" s="162"/>
      <c r="D86" s="162"/>
      <c r="E86" s="162"/>
      <c r="F86" s="162"/>
      <c r="G86" s="163">
        <v>49835.08</v>
      </c>
      <c r="H86" s="164"/>
      <c r="I86" s="164">
        <v>61.72</v>
      </c>
      <c r="J86" s="162"/>
      <c r="K86" s="165"/>
      <c r="L86" s="162"/>
      <c r="M86" s="162"/>
      <c r="N86" s="162"/>
      <c r="O86" s="162"/>
      <c r="P86" s="162"/>
      <c r="Q86" s="73"/>
    </row>
    <row r="87" spans="1:17" ht="13.8" x14ac:dyDescent="0.25">
      <c r="A87" s="166"/>
      <c r="B87" s="161"/>
      <c r="C87" s="162"/>
      <c r="D87" s="162"/>
      <c r="E87" s="162"/>
      <c r="F87" s="162"/>
      <c r="G87" s="167"/>
      <c r="H87" s="162"/>
      <c r="I87" s="162"/>
      <c r="J87" s="162"/>
      <c r="K87" s="167"/>
      <c r="L87" s="162"/>
      <c r="M87" s="162"/>
      <c r="N87" s="162"/>
      <c r="O87" s="162"/>
      <c r="P87" s="162"/>
      <c r="Q87" s="73"/>
    </row>
    <row r="88" spans="1:17" ht="13.8" x14ac:dyDescent="0.25">
      <c r="A88" s="160" t="s">
        <v>171</v>
      </c>
      <c r="B88" s="162"/>
      <c r="C88" s="168"/>
      <c r="D88" s="162"/>
      <c r="E88" s="162"/>
      <c r="F88" s="162"/>
      <c r="G88" s="169" t="s">
        <v>126</v>
      </c>
      <c r="H88" s="170"/>
      <c r="I88" s="170" t="s">
        <v>127</v>
      </c>
      <c r="J88" s="162"/>
      <c r="K88" s="167"/>
      <c r="L88" s="162"/>
      <c r="M88" s="162"/>
      <c r="N88" s="162"/>
      <c r="O88" s="162"/>
      <c r="P88" s="162"/>
      <c r="Q88" s="73"/>
    </row>
    <row r="89" spans="1:17" x14ac:dyDescent="0.25">
      <c r="A89" s="171" t="s">
        <v>108</v>
      </c>
      <c r="B89" s="162"/>
      <c r="C89" s="162"/>
      <c r="D89" s="162"/>
      <c r="E89" s="162"/>
      <c r="F89" s="162"/>
      <c r="G89" s="172">
        <v>81812.2</v>
      </c>
      <c r="H89" s="162"/>
      <c r="I89" s="162"/>
      <c r="J89" s="162"/>
      <c r="K89" s="167"/>
      <c r="L89" s="162"/>
      <c r="M89" s="162"/>
      <c r="N89" s="162"/>
      <c r="O89" s="162"/>
      <c r="P89" s="162"/>
      <c r="Q89" s="73"/>
    </row>
    <row r="90" spans="1:17" x14ac:dyDescent="0.25">
      <c r="A90" s="171" t="s">
        <v>109</v>
      </c>
      <c r="B90" s="162"/>
      <c r="C90" s="162"/>
      <c r="D90" s="162"/>
      <c r="E90" s="162"/>
      <c r="F90" s="162"/>
      <c r="G90" s="172">
        <v>-27051.71</v>
      </c>
      <c r="H90" s="162"/>
      <c r="I90" s="162"/>
      <c r="J90" s="162"/>
      <c r="K90" s="167"/>
      <c r="L90" s="162"/>
      <c r="M90" s="162"/>
      <c r="N90" s="162"/>
      <c r="O90" s="162"/>
      <c r="P90" s="162"/>
      <c r="Q90" s="73"/>
    </row>
    <row r="91" spans="1:17" x14ac:dyDescent="0.25">
      <c r="A91" s="171" t="s">
        <v>107</v>
      </c>
      <c r="B91" s="162"/>
      <c r="C91" s="162"/>
      <c r="D91" s="162"/>
      <c r="E91" s="162"/>
      <c r="F91" s="162"/>
      <c r="G91" s="163">
        <v>54760.49</v>
      </c>
      <c r="H91" s="164"/>
      <c r="I91" s="173">
        <v>67.820046497366903</v>
      </c>
      <c r="J91" s="162"/>
      <c r="K91" s="167"/>
      <c r="L91" s="162"/>
      <c r="M91" s="162"/>
      <c r="N91" s="162"/>
      <c r="O91" s="162"/>
      <c r="P91" s="162"/>
      <c r="Q91" s="73"/>
    </row>
    <row r="92" spans="1:17" x14ac:dyDescent="0.25">
      <c r="A92" s="171" t="s">
        <v>25</v>
      </c>
      <c r="B92" s="162"/>
      <c r="C92" s="162"/>
      <c r="D92" s="162"/>
      <c r="E92" s="162"/>
      <c r="F92" s="162"/>
      <c r="G92" s="167"/>
      <c r="H92" s="162"/>
      <c r="I92" s="168"/>
      <c r="J92" s="162"/>
      <c r="K92" s="167"/>
      <c r="L92" s="162"/>
      <c r="M92" s="162"/>
      <c r="N92" s="162"/>
      <c r="O92" s="162"/>
      <c r="P92" s="162"/>
      <c r="Q92" s="73"/>
    </row>
    <row r="93" spans="1:17" x14ac:dyDescent="0.25">
      <c r="A93" s="171"/>
      <c r="B93" s="162"/>
      <c r="C93" s="162"/>
      <c r="D93" s="162"/>
      <c r="E93" s="162"/>
      <c r="F93" s="162"/>
      <c r="G93" s="169" t="s">
        <v>126</v>
      </c>
      <c r="H93" s="170"/>
      <c r="I93" s="170" t="s">
        <v>127</v>
      </c>
      <c r="J93" s="170"/>
      <c r="K93" s="169" t="s">
        <v>172</v>
      </c>
      <c r="L93" s="162"/>
      <c r="M93" s="162"/>
      <c r="N93" s="162"/>
      <c r="O93" s="162"/>
      <c r="P93" s="162"/>
      <c r="Q93" s="73"/>
    </row>
    <row r="94" spans="1:17" x14ac:dyDescent="0.25">
      <c r="A94" s="171" t="s">
        <v>173</v>
      </c>
      <c r="B94" s="162"/>
      <c r="C94" s="162"/>
      <c r="D94" s="162"/>
      <c r="E94" s="162"/>
      <c r="F94" s="162"/>
      <c r="G94" s="163">
        <v>4925.4099999999962</v>
      </c>
      <c r="H94" s="164"/>
      <c r="I94" s="173">
        <v>6.100046497366904</v>
      </c>
      <c r="J94" s="162"/>
      <c r="K94" s="174">
        <f>+I94/I86%</f>
        <v>9.8834194707824121</v>
      </c>
      <c r="L94" s="162"/>
      <c r="M94" s="162"/>
      <c r="N94" s="162"/>
      <c r="O94" s="162"/>
      <c r="P94" s="162"/>
      <c r="Q94" s="73"/>
    </row>
    <row r="95" spans="1:17" ht="7.8" hidden="1" customHeight="1" x14ac:dyDescent="0.25">
      <c r="A95" s="175" t="s">
        <v>167</v>
      </c>
      <c r="Q95" s="73"/>
    </row>
    <row r="96" spans="1:17" ht="13.8" hidden="1" x14ac:dyDescent="0.25">
      <c r="A96" s="176" t="s">
        <v>168</v>
      </c>
      <c r="B96" s="150"/>
      <c r="G96" s="78" t="s">
        <v>126</v>
      </c>
      <c r="I96" s="78" t="s">
        <v>122</v>
      </c>
      <c r="Q96" s="73"/>
    </row>
    <row r="97" spans="1:17" ht="13.8" hidden="1" x14ac:dyDescent="0.25">
      <c r="A97" s="177" t="s">
        <v>65</v>
      </c>
      <c r="B97" s="150"/>
      <c r="G97" s="178">
        <v>49835.08</v>
      </c>
      <c r="I97" s="77">
        <v>61.72</v>
      </c>
      <c r="Q97" s="73"/>
    </row>
    <row r="98" spans="1:17" ht="13.8" hidden="1" x14ac:dyDescent="0.25">
      <c r="A98" s="177" t="s">
        <v>66</v>
      </c>
      <c r="B98" s="150"/>
      <c r="G98" s="178">
        <v>515.83000000000004</v>
      </c>
      <c r="Q98" s="73"/>
    </row>
    <row r="99" spans="1:17" ht="13.8" hidden="1" x14ac:dyDescent="0.25">
      <c r="A99" s="177" t="s">
        <v>68</v>
      </c>
      <c r="G99" s="178">
        <v>340</v>
      </c>
      <c r="Q99" s="73"/>
    </row>
    <row r="100" spans="1:17" ht="7.2" hidden="1" customHeight="1" x14ac:dyDescent="0.25">
      <c r="A100" s="177" t="s">
        <v>67</v>
      </c>
      <c r="G100" s="179">
        <v>38.71</v>
      </c>
      <c r="Q100" s="73"/>
    </row>
    <row r="101" spans="1:17" ht="12" hidden="1" customHeight="1" x14ac:dyDescent="0.25">
      <c r="A101" s="180"/>
      <c r="G101" s="178">
        <v>50729.62</v>
      </c>
      <c r="Q101" s="73"/>
    </row>
    <row r="102" spans="1:17" x14ac:dyDescent="0.25">
      <c r="A102" s="181"/>
      <c r="B102" s="182"/>
      <c r="C102" s="182"/>
      <c r="D102" s="182"/>
      <c r="E102" s="182"/>
      <c r="F102" s="182"/>
      <c r="G102" s="182"/>
      <c r="H102" s="182"/>
      <c r="I102" s="182"/>
      <c r="J102" s="182"/>
      <c r="K102" s="183"/>
      <c r="L102" s="182"/>
      <c r="M102" s="182"/>
      <c r="N102" s="182"/>
      <c r="O102" s="182"/>
      <c r="P102" s="182"/>
      <c r="Q102" s="74"/>
    </row>
    <row r="108" spans="1:17" x14ac:dyDescent="0.25">
      <c r="G108" s="77">
        <f>+G91/2</f>
        <v>27380.244999999999</v>
      </c>
    </row>
    <row r="116" spans="1:17" x14ac:dyDescent="0.25">
      <c r="C116" s="184"/>
    </row>
    <row r="118" spans="1:17" s="184" customFormat="1" x14ac:dyDescent="0.25">
      <c r="A118" s="77"/>
      <c r="B118" s="77"/>
      <c r="C118" s="77"/>
      <c r="K118" s="185"/>
      <c r="Q118" s="75"/>
    </row>
  </sheetData>
  <mergeCells count="1">
    <mergeCell ref="C1:G1"/>
  </mergeCells>
  <printOptions gridLines="1"/>
  <pageMargins left="0.23622047244094491" right="0.23622047244094491" top="1.1330314960629921" bottom="0.74803149606299213" header="0.31496062992125984" footer="0.31496062992125984"/>
  <pageSetup scale="87" orientation="landscape" r:id="rId1"/>
  <headerFooter alignWithMargins="0">
    <oddHeader>&amp;F</oddHeader>
    <oddFooter>Page &amp;P of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B2C5-6AE8-49C3-9D06-0ED8619BDBFF}">
  <dimension ref="A1:J156"/>
  <sheetViews>
    <sheetView zoomScale="85" zoomScaleNormal="85" workbookViewId="0">
      <pane xSplit="2" ySplit="1" topLeftCell="C140" activePane="bottomRight" state="frozenSplit"/>
      <selection pane="topRight" activeCell="J1" sqref="J1"/>
      <selection pane="bottomLeft" activeCell="A6" sqref="A6"/>
      <selection pane="bottomRight" activeCell="G173" sqref="G173"/>
    </sheetView>
  </sheetViews>
  <sheetFormatPr defaultRowHeight="13.2" x14ac:dyDescent="0.25"/>
  <cols>
    <col min="2" max="2" width="73.5546875" customWidth="1"/>
    <col min="4" max="6" width="8.88671875" style="210"/>
  </cols>
  <sheetData>
    <row r="1" spans="1:10" x14ac:dyDescent="0.25">
      <c r="C1" s="15" t="s">
        <v>264</v>
      </c>
      <c r="D1" s="222" t="s">
        <v>256</v>
      </c>
      <c r="E1" s="222" t="s">
        <v>257</v>
      </c>
      <c r="F1" s="222" t="s">
        <v>258</v>
      </c>
      <c r="G1" s="222" t="s">
        <v>126</v>
      </c>
      <c r="H1" s="222" t="s">
        <v>261</v>
      </c>
    </row>
    <row r="2" spans="1:10" ht="13.8" x14ac:dyDescent="0.25">
      <c r="A2" t="s">
        <v>226</v>
      </c>
      <c r="B2" s="56" t="s">
        <v>176</v>
      </c>
      <c r="C2" s="56"/>
      <c r="D2" s="56"/>
      <c r="E2" s="56"/>
      <c r="F2" s="56"/>
    </row>
    <row r="3" spans="1:10" ht="27.6" x14ac:dyDescent="0.25">
      <c r="B3" s="56"/>
      <c r="C3" s="56"/>
      <c r="D3" s="56" t="s">
        <v>268</v>
      </c>
      <c r="E3" s="56" t="s">
        <v>267</v>
      </c>
      <c r="F3" s="56" t="s">
        <v>269</v>
      </c>
      <c r="G3" s="56"/>
    </row>
    <row r="4" spans="1:10" ht="13.8" x14ac:dyDescent="0.25">
      <c r="A4" t="s">
        <v>217</v>
      </c>
      <c r="B4" s="204" t="s">
        <v>270</v>
      </c>
      <c r="C4" s="241"/>
      <c r="D4" s="233">
        <v>689.8</v>
      </c>
      <c r="E4" s="242">
        <v>952</v>
      </c>
      <c r="F4" s="233">
        <v>716.16</v>
      </c>
      <c r="G4" s="21"/>
      <c r="H4" s="234"/>
    </row>
    <row r="5" spans="1:10" ht="13.8" x14ac:dyDescent="0.25">
      <c r="B5" s="146" t="s">
        <v>295</v>
      </c>
      <c r="C5" s="243"/>
      <c r="E5" s="248"/>
      <c r="H5" s="235"/>
    </row>
    <row r="6" spans="1:10" ht="13.8" x14ac:dyDescent="0.25">
      <c r="B6" s="146" t="s">
        <v>239</v>
      </c>
      <c r="H6" s="235"/>
    </row>
    <row r="7" spans="1:10" ht="13.8" x14ac:dyDescent="0.25">
      <c r="A7" t="s">
        <v>217</v>
      </c>
      <c r="B7" s="236" t="s">
        <v>14</v>
      </c>
      <c r="C7" s="231">
        <v>1389</v>
      </c>
      <c r="D7" s="231">
        <f>SUM(D4:D4)</f>
        <v>689.8</v>
      </c>
      <c r="E7" s="231">
        <f>SUM(E4:E6)</f>
        <v>952</v>
      </c>
      <c r="F7" s="231">
        <f>SUM(F4:F6)</f>
        <v>716.16</v>
      </c>
      <c r="G7" s="231">
        <f>SUM(D7:F7)</f>
        <v>2357.96</v>
      </c>
      <c r="H7" s="237">
        <f>+C7-G7</f>
        <v>-968.96</v>
      </c>
      <c r="J7" s="15" t="s">
        <v>272</v>
      </c>
    </row>
    <row r="8" spans="1:10" ht="13.8" x14ac:dyDescent="0.25">
      <c r="A8" t="s">
        <v>218</v>
      </c>
      <c r="B8" s="146" t="s">
        <v>190</v>
      </c>
      <c r="C8" s="243"/>
      <c r="H8" s="235"/>
    </row>
    <row r="9" spans="1:10" ht="13.8" x14ac:dyDescent="0.25">
      <c r="A9" t="s">
        <v>218</v>
      </c>
      <c r="B9" s="146" t="s">
        <v>190</v>
      </c>
      <c r="H9" s="235"/>
    </row>
    <row r="10" spans="1:10" ht="13.8" x14ac:dyDescent="0.25">
      <c r="A10" t="s">
        <v>218</v>
      </c>
      <c r="B10" s="236" t="s">
        <v>190</v>
      </c>
      <c r="C10" s="231">
        <v>0</v>
      </c>
      <c r="D10" s="231">
        <f t="shared" ref="D10:F10" si="0">SUM(D8:D9)</f>
        <v>0</v>
      </c>
      <c r="E10" s="231">
        <f t="shared" si="0"/>
        <v>0</v>
      </c>
      <c r="F10" s="231">
        <f t="shared" si="0"/>
        <v>0</v>
      </c>
      <c r="G10" s="231">
        <f>SUM(D10:F10)</f>
        <v>0</v>
      </c>
      <c r="H10" s="237">
        <f>+C10-G10</f>
        <v>0</v>
      </c>
    </row>
    <row r="11" spans="1:10" ht="13.8" x14ac:dyDescent="0.25">
      <c r="A11" t="s">
        <v>219</v>
      </c>
      <c r="B11" s="146" t="s">
        <v>141</v>
      </c>
      <c r="C11" s="210"/>
      <c r="D11" s="210">
        <v>510.28</v>
      </c>
      <c r="H11" s="235"/>
    </row>
    <row r="12" spans="1:10" ht="13.8" x14ac:dyDescent="0.25">
      <c r="A12" t="s">
        <v>219</v>
      </c>
      <c r="B12" s="146" t="s">
        <v>141</v>
      </c>
      <c r="C12" s="210"/>
      <c r="H12" s="235"/>
    </row>
    <row r="13" spans="1:10" ht="13.8" x14ac:dyDescent="0.25">
      <c r="A13" t="s">
        <v>219</v>
      </c>
      <c r="B13" s="236" t="s">
        <v>141</v>
      </c>
      <c r="C13" s="231">
        <v>240</v>
      </c>
      <c r="D13" s="231">
        <f t="shared" ref="D13:F13" si="1">SUM(D11:D12)</f>
        <v>510.28</v>
      </c>
      <c r="E13" s="231">
        <f t="shared" si="1"/>
        <v>0</v>
      </c>
      <c r="F13" s="231">
        <f t="shared" si="1"/>
        <v>0</v>
      </c>
      <c r="G13" s="231">
        <f>SUM(D13:F13)</f>
        <v>510.28</v>
      </c>
      <c r="H13" s="237">
        <f>+C13-G13</f>
        <v>-270.27999999999997</v>
      </c>
      <c r="J13" s="15" t="s">
        <v>272</v>
      </c>
    </row>
    <row r="14" spans="1:10" ht="13.8" x14ac:dyDescent="0.25">
      <c r="A14" t="s">
        <v>220</v>
      </c>
      <c r="B14" s="146" t="s">
        <v>1</v>
      </c>
      <c r="C14" s="210"/>
      <c r="D14" s="210">
        <v>39.35</v>
      </c>
      <c r="E14" s="210">
        <f>23.49+3.5</f>
        <v>26.99</v>
      </c>
      <c r="F14" s="210">
        <f>24.72</f>
        <v>24.72</v>
      </c>
      <c r="H14" s="235"/>
    </row>
    <row r="15" spans="1:10" ht="13.8" x14ac:dyDescent="0.25">
      <c r="B15" s="146"/>
      <c r="C15" s="210"/>
      <c r="H15" s="235"/>
    </row>
    <row r="16" spans="1:10" ht="13.8" x14ac:dyDescent="0.25">
      <c r="A16" t="s">
        <v>220</v>
      </c>
      <c r="B16" s="146" t="s">
        <v>266</v>
      </c>
      <c r="C16" s="210"/>
      <c r="E16" s="210">
        <v>258.72000000000003</v>
      </c>
      <c r="H16" s="235"/>
    </row>
    <row r="17" spans="1:10" ht="13.8" x14ac:dyDescent="0.25">
      <c r="A17" t="s">
        <v>220</v>
      </c>
      <c r="B17" s="236" t="s">
        <v>1</v>
      </c>
      <c r="C17" s="231">
        <v>493.72</v>
      </c>
      <c r="D17" s="231">
        <f t="shared" ref="D17:F17" si="2">SUM(D14:D16)</f>
        <v>39.35</v>
      </c>
      <c r="E17" s="231">
        <f t="shared" si="2"/>
        <v>285.71000000000004</v>
      </c>
      <c r="F17" s="231">
        <f t="shared" si="2"/>
        <v>24.72</v>
      </c>
      <c r="G17" s="231">
        <f>SUM(D17:F17)</f>
        <v>349.78000000000009</v>
      </c>
      <c r="H17" s="237">
        <f>+C17-G17</f>
        <v>143.93999999999994</v>
      </c>
    </row>
    <row r="18" spans="1:10" ht="13.8" x14ac:dyDescent="0.25">
      <c r="A18" t="s">
        <v>221</v>
      </c>
      <c r="B18" s="146" t="s">
        <v>157</v>
      </c>
      <c r="C18" s="210"/>
      <c r="H18" s="235"/>
    </row>
    <row r="19" spans="1:10" ht="13.8" x14ac:dyDescent="0.25">
      <c r="A19" t="s">
        <v>221</v>
      </c>
      <c r="B19" s="146" t="s">
        <v>157</v>
      </c>
      <c r="C19" s="210"/>
      <c r="H19" s="235"/>
    </row>
    <row r="20" spans="1:10" ht="13.8" x14ac:dyDescent="0.25">
      <c r="A20" t="s">
        <v>221</v>
      </c>
      <c r="B20" s="236" t="s">
        <v>157</v>
      </c>
      <c r="C20" s="231">
        <v>0</v>
      </c>
      <c r="D20" s="231">
        <f t="shared" ref="D20:F20" si="3">SUM(D18:D19)</f>
        <v>0</v>
      </c>
      <c r="E20" s="231">
        <f t="shared" si="3"/>
        <v>0</v>
      </c>
      <c r="F20" s="231">
        <f t="shared" si="3"/>
        <v>0</v>
      </c>
      <c r="G20" s="231">
        <f>SUM(D20:F20)</f>
        <v>0</v>
      </c>
      <c r="H20" s="237">
        <f>+C20-G20</f>
        <v>0</v>
      </c>
    </row>
    <row r="21" spans="1:10" ht="13.8" x14ac:dyDescent="0.25">
      <c r="A21" t="s">
        <v>222</v>
      </c>
      <c r="B21" s="146" t="s">
        <v>101</v>
      </c>
      <c r="C21" s="210"/>
      <c r="H21" s="235"/>
      <c r="J21" s="15" t="s">
        <v>296</v>
      </c>
    </row>
    <row r="22" spans="1:10" ht="13.8" x14ac:dyDescent="0.25">
      <c r="A22" t="s">
        <v>222</v>
      </c>
      <c r="B22" s="146" t="s">
        <v>101</v>
      </c>
      <c r="C22" s="210"/>
      <c r="H22" s="235"/>
    </row>
    <row r="23" spans="1:10" ht="13.8" x14ac:dyDescent="0.25">
      <c r="A23" t="s">
        <v>222</v>
      </c>
      <c r="B23" s="236" t="s">
        <v>101</v>
      </c>
      <c r="C23" s="231">
        <v>600</v>
      </c>
      <c r="D23" s="231">
        <f t="shared" ref="D23:F23" si="4">SUM(D21:D22)</f>
        <v>0</v>
      </c>
      <c r="E23" s="231">
        <f t="shared" si="4"/>
        <v>0</v>
      </c>
      <c r="F23" s="231">
        <f t="shared" si="4"/>
        <v>0</v>
      </c>
      <c r="G23" s="231">
        <f>SUM(D23:F23)</f>
        <v>0</v>
      </c>
      <c r="H23" s="237">
        <f>+C23-G23</f>
        <v>600</v>
      </c>
    </row>
    <row r="24" spans="1:10" ht="13.8" x14ac:dyDescent="0.25">
      <c r="A24" t="s">
        <v>223</v>
      </c>
      <c r="B24" s="146" t="s">
        <v>259</v>
      </c>
      <c r="C24" s="210"/>
      <c r="H24" s="235"/>
    </row>
    <row r="25" spans="1:10" ht="13.8" x14ac:dyDescent="0.25">
      <c r="A25" t="s">
        <v>223</v>
      </c>
      <c r="B25" s="146" t="s">
        <v>18</v>
      </c>
      <c r="C25" s="210"/>
      <c r="F25" s="210">
        <v>190</v>
      </c>
      <c r="H25" s="235"/>
    </row>
    <row r="26" spans="1:10" ht="13.8" x14ac:dyDescent="0.25">
      <c r="A26" t="s">
        <v>223</v>
      </c>
      <c r="B26" s="236" t="s">
        <v>18</v>
      </c>
      <c r="C26" s="231">
        <v>0</v>
      </c>
      <c r="D26" s="231">
        <f t="shared" ref="D26:F26" si="5">SUM(D24:D25)</f>
        <v>0</v>
      </c>
      <c r="E26" s="231">
        <f t="shared" si="5"/>
        <v>0</v>
      </c>
      <c r="F26" s="231">
        <f t="shared" si="5"/>
        <v>190</v>
      </c>
      <c r="G26" s="231">
        <f>SUM(D26:F26)</f>
        <v>190</v>
      </c>
      <c r="H26" s="237">
        <f>+C26-G26</f>
        <v>-190</v>
      </c>
      <c r="J26" s="15" t="s">
        <v>273</v>
      </c>
    </row>
    <row r="27" spans="1:10" ht="13.8" x14ac:dyDescent="0.25">
      <c r="A27" t="s">
        <v>224</v>
      </c>
      <c r="B27" s="146" t="s">
        <v>136</v>
      </c>
      <c r="C27" s="210"/>
      <c r="H27" s="235"/>
    </row>
    <row r="28" spans="1:10" ht="13.8" x14ac:dyDescent="0.25">
      <c r="A28" t="s">
        <v>224</v>
      </c>
      <c r="B28" s="146" t="s">
        <v>136</v>
      </c>
      <c r="C28" s="210"/>
      <c r="H28" s="235"/>
    </row>
    <row r="29" spans="1:10" ht="13.8" x14ac:dyDescent="0.25">
      <c r="A29" t="s">
        <v>224</v>
      </c>
      <c r="B29" s="236" t="s">
        <v>136</v>
      </c>
      <c r="C29" s="231">
        <v>0</v>
      </c>
      <c r="D29" s="231">
        <f t="shared" ref="D29:F29" si="6">SUM(D27:D28)</f>
        <v>0</v>
      </c>
      <c r="E29" s="231">
        <f t="shared" si="6"/>
        <v>0</v>
      </c>
      <c r="F29" s="231">
        <f t="shared" si="6"/>
        <v>0</v>
      </c>
      <c r="G29" s="231">
        <f>SUM(D29:F29)</f>
        <v>0</v>
      </c>
      <c r="H29" s="237">
        <f>+C29-G29</f>
        <v>0</v>
      </c>
    </row>
    <row r="30" spans="1:10" ht="13.8" x14ac:dyDescent="0.25">
      <c r="A30" t="s">
        <v>225</v>
      </c>
      <c r="B30" s="204" t="s">
        <v>149</v>
      </c>
      <c r="C30" s="233"/>
      <c r="D30" s="233"/>
      <c r="E30" s="233"/>
      <c r="F30" s="233"/>
      <c r="G30" s="21"/>
      <c r="H30" s="234"/>
    </row>
    <row r="31" spans="1:10" ht="13.8" x14ac:dyDescent="0.25">
      <c r="A31" t="s">
        <v>225</v>
      </c>
      <c r="B31" s="146" t="s">
        <v>149</v>
      </c>
      <c r="C31" s="210"/>
      <c r="H31" s="235"/>
    </row>
    <row r="32" spans="1:10" ht="13.8" x14ac:dyDescent="0.25">
      <c r="A32" t="s">
        <v>225</v>
      </c>
      <c r="B32" s="236" t="s">
        <v>149</v>
      </c>
      <c r="C32" s="231">
        <v>0</v>
      </c>
      <c r="D32" s="231">
        <f t="shared" ref="D32:F32" si="7">SUM(D30:D31)</f>
        <v>0</v>
      </c>
      <c r="E32" s="231">
        <f t="shared" si="7"/>
        <v>0</v>
      </c>
      <c r="F32" s="231">
        <f t="shared" si="7"/>
        <v>0</v>
      </c>
      <c r="G32" s="231">
        <f>SUM(D32:F32)</f>
        <v>0</v>
      </c>
      <c r="H32" s="237">
        <f>+C32-G32</f>
        <v>0</v>
      </c>
    </row>
    <row r="33" spans="1:10" ht="13.8" x14ac:dyDescent="0.25">
      <c r="A33" t="s">
        <v>199</v>
      </c>
      <c r="B33" s="146" t="s">
        <v>144</v>
      </c>
      <c r="C33" s="210"/>
      <c r="H33" s="235"/>
    </row>
    <row r="34" spans="1:10" ht="13.8" x14ac:dyDescent="0.25">
      <c r="A34" t="s">
        <v>199</v>
      </c>
      <c r="B34" s="146" t="s">
        <v>144</v>
      </c>
      <c r="C34" s="210"/>
      <c r="H34" s="235"/>
    </row>
    <row r="35" spans="1:10" ht="13.8" x14ac:dyDescent="0.25">
      <c r="A35" t="s">
        <v>199</v>
      </c>
      <c r="B35" s="238" t="s">
        <v>144</v>
      </c>
      <c r="C35" s="211">
        <v>0</v>
      </c>
      <c r="D35" s="211">
        <f t="shared" ref="D35:F35" si="8">SUM(D33:D34)</f>
        <v>0</v>
      </c>
      <c r="E35" s="211">
        <f t="shared" si="8"/>
        <v>0</v>
      </c>
      <c r="F35" s="211">
        <f t="shared" si="8"/>
        <v>0</v>
      </c>
      <c r="G35" s="211">
        <f>SUM(D35:F35)</f>
        <v>0</v>
      </c>
      <c r="H35" s="239">
        <f>+C35-G35</f>
        <v>0</v>
      </c>
    </row>
    <row r="36" spans="1:10" ht="13.8" x14ac:dyDescent="0.25">
      <c r="A36" t="s">
        <v>200</v>
      </c>
      <c r="B36" s="204" t="s">
        <v>12</v>
      </c>
      <c r="C36" s="233"/>
      <c r="D36" s="233"/>
      <c r="E36" s="233"/>
      <c r="F36" s="233"/>
      <c r="G36" s="21"/>
      <c r="H36" s="234"/>
    </row>
    <row r="37" spans="1:10" ht="13.8" x14ac:dyDescent="0.25">
      <c r="A37" t="s">
        <v>200</v>
      </c>
      <c r="B37" s="146" t="s">
        <v>12</v>
      </c>
      <c r="C37" s="210"/>
      <c r="H37" s="235"/>
    </row>
    <row r="38" spans="1:10" ht="13.8" x14ac:dyDescent="0.25">
      <c r="A38" t="s">
        <v>200</v>
      </c>
      <c r="B38" s="236" t="s">
        <v>12</v>
      </c>
      <c r="C38" s="231">
        <v>0</v>
      </c>
      <c r="D38" s="231">
        <f t="shared" ref="D38:F38" si="9">SUM(D36:D37)</f>
        <v>0</v>
      </c>
      <c r="E38" s="231">
        <f t="shared" si="9"/>
        <v>0</v>
      </c>
      <c r="F38" s="231">
        <f t="shared" si="9"/>
        <v>0</v>
      </c>
      <c r="G38" s="231">
        <f>SUM(D38:F38)</f>
        <v>0</v>
      </c>
      <c r="H38" s="237">
        <f>+C38-G38</f>
        <v>0</v>
      </c>
    </row>
    <row r="39" spans="1:10" ht="13.8" x14ac:dyDescent="0.25">
      <c r="A39" t="s">
        <v>201</v>
      </c>
      <c r="B39" s="146" t="s">
        <v>249</v>
      </c>
      <c r="C39" s="210"/>
      <c r="H39" s="235"/>
    </row>
    <row r="40" spans="1:10" ht="13.8" x14ac:dyDescent="0.25">
      <c r="A40" t="s">
        <v>201</v>
      </c>
      <c r="B40" s="146" t="s">
        <v>8</v>
      </c>
      <c r="C40" s="210"/>
      <c r="H40" s="235"/>
    </row>
    <row r="41" spans="1:10" ht="13.8" x14ac:dyDescent="0.25">
      <c r="A41" t="s">
        <v>201</v>
      </c>
      <c r="B41" s="238" t="s">
        <v>8</v>
      </c>
      <c r="C41" s="211">
        <v>0</v>
      </c>
      <c r="D41" s="211">
        <f t="shared" ref="D41:F41" si="10">SUM(D39:D40)</f>
        <v>0</v>
      </c>
      <c r="E41" s="211">
        <f t="shared" si="10"/>
        <v>0</v>
      </c>
      <c r="F41" s="211">
        <f t="shared" si="10"/>
        <v>0</v>
      </c>
      <c r="G41" s="211">
        <f>SUM(D41:F41)</f>
        <v>0</v>
      </c>
      <c r="H41" s="239">
        <f>+C41-G41</f>
        <v>0</v>
      </c>
    </row>
    <row r="42" spans="1:10" ht="13.8" x14ac:dyDescent="0.25">
      <c r="A42" t="s">
        <v>202</v>
      </c>
      <c r="B42" s="204" t="s">
        <v>36</v>
      </c>
      <c r="C42" s="233"/>
      <c r="D42" s="233"/>
      <c r="E42" s="233"/>
      <c r="F42" s="233"/>
      <c r="G42" s="21"/>
      <c r="H42" s="234"/>
    </row>
    <row r="43" spans="1:10" ht="13.8" x14ac:dyDescent="0.25">
      <c r="A43" t="s">
        <v>202</v>
      </c>
      <c r="B43" s="146" t="s">
        <v>36</v>
      </c>
      <c r="C43" s="210"/>
      <c r="H43" s="235"/>
    </row>
    <row r="44" spans="1:10" ht="13.8" x14ac:dyDescent="0.25">
      <c r="A44" t="s">
        <v>202</v>
      </c>
      <c r="B44" s="236" t="s">
        <v>36</v>
      </c>
      <c r="C44" s="231">
        <v>0</v>
      </c>
      <c r="D44" s="231">
        <f t="shared" ref="D44:F44" si="11">SUM(D42:D43)</f>
        <v>0</v>
      </c>
      <c r="E44" s="231">
        <f t="shared" si="11"/>
        <v>0</v>
      </c>
      <c r="F44" s="231">
        <f t="shared" si="11"/>
        <v>0</v>
      </c>
      <c r="G44" s="231">
        <f>SUM(D44:F44)</f>
        <v>0</v>
      </c>
      <c r="H44" s="237">
        <f>+C44-G44</f>
        <v>0</v>
      </c>
    </row>
    <row r="45" spans="1:10" ht="13.8" x14ac:dyDescent="0.25">
      <c r="A45" t="s">
        <v>203</v>
      </c>
      <c r="B45" s="146" t="s">
        <v>237</v>
      </c>
      <c r="C45" s="210"/>
      <c r="D45" s="210">
        <v>625</v>
      </c>
      <c r="E45" s="210">
        <v>625</v>
      </c>
      <c r="F45" s="210">
        <v>625</v>
      </c>
      <c r="H45" s="235"/>
    </row>
    <row r="46" spans="1:10" ht="13.8" x14ac:dyDescent="0.25">
      <c r="A46" t="s">
        <v>203</v>
      </c>
      <c r="B46" s="146" t="s">
        <v>133</v>
      </c>
      <c r="C46" s="210"/>
      <c r="H46" s="235"/>
    </row>
    <row r="47" spans="1:10" ht="13.8" x14ac:dyDescent="0.25">
      <c r="A47" t="s">
        <v>203</v>
      </c>
      <c r="B47" s="238" t="s">
        <v>133</v>
      </c>
      <c r="C47" s="211">
        <v>1250</v>
      </c>
      <c r="D47" s="211">
        <f t="shared" ref="D47:F47" si="12">SUM(D45:D46)</f>
        <v>625</v>
      </c>
      <c r="E47" s="211">
        <f t="shared" si="12"/>
        <v>625</v>
      </c>
      <c r="F47" s="211">
        <f t="shared" si="12"/>
        <v>625</v>
      </c>
      <c r="G47" s="211">
        <f>SUM(D47:F47)</f>
        <v>1875</v>
      </c>
      <c r="H47" s="239">
        <f>+C47-G47</f>
        <v>-625</v>
      </c>
      <c r="J47" s="15" t="s">
        <v>272</v>
      </c>
    </row>
    <row r="48" spans="1:10" ht="13.8" x14ac:dyDescent="0.25">
      <c r="A48" t="s">
        <v>204</v>
      </c>
      <c r="B48" s="204" t="s">
        <v>134</v>
      </c>
      <c r="C48" s="233"/>
      <c r="D48" s="233"/>
      <c r="E48" s="233"/>
      <c r="F48" s="233"/>
      <c r="G48" s="21"/>
      <c r="H48" s="234"/>
    </row>
    <row r="49" spans="1:10" ht="13.8" x14ac:dyDescent="0.25">
      <c r="A49" t="s">
        <v>204</v>
      </c>
      <c r="B49" s="146" t="s">
        <v>134</v>
      </c>
      <c r="C49" s="210"/>
      <c r="H49" s="235"/>
    </row>
    <row r="50" spans="1:10" ht="13.8" x14ac:dyDescent="0.25">
      <c r="A50" t="s">
        <v>204</v>
      </c>
      <c r="B50" s="236" t="s">
        <v>134</v>
      </c>
      <c r="C50" s="231">
        <v>400</v>
      </c>
      <c r="D50" s="231">
        <f t="shared" ref="D50:F50" si="13">SUM(D48:D49)</f>
        <v>0</v>
      </c>
      <c r="E50" s="231">
        <f t="shared" si="13"/>
        <v>0</v>
      </c>
      <c r="F50" s="231">
        <f t="shared" si="13"/>
        <v>0</v>
      </c>
      <c r="G50" s="231">
        <f>SUM(D50:F50)</f>
        <v>0</v>
      </c>
      <c r="H50" s="237">
        <f>+C50-G50</f>
        <v>400</v>
      </c>
      <c r="J50" s="15" t="s">
        <v>274</v>
      </c>
    </row>
    <row r="51" spans="1:10" ht="13.8" x14ac:dyDescent="0.25">
      <c r="A51" t="s">
        <v>205</v>
      </c>
      <c r="B51" s="146" t="s">
        <v>22</v>
      </c>
      <c r="C51" s="210"/>
      <c r="H51" s="235"/>
    </row>
    <row r="52" spans="1:10" ht="13.8" x14ac:dyDescent="0.25">
      <c r="A52" t="s">
        <v>205</v>
      </c>
      <c r="B52" s="146" t="s">
        <v>22</v>
      </c>
      <c r="C52" s="210"/>
      <c r="H52" s="235"/>
    </row>
    <row r="53" spans="1:10" ht="13.8" x14ac:dyDescent="0.25">
      <c r="A53" t="s">
        <v>205</v>
      </c>
      <c r="B53" s="238" t="s">
        <v>22</v>
      </c>
      <c r="C53" s="211">
        <v>1803.42</v>
      </c>
      <c r="D53" s="211">
        <f t="shared" ref="D53" si="14">SUM(D51:D52)</f>
        <v>0</v>
      </c>
      <c r="E53" s="211">
        <f t="shared" ref="E53:F53" si="15">SUM(E51:E52)</f>
        <v>0</v>
      </c>
      <c r="F53" s="211">
        <f t="shared" si="15"/>
        <v>0</v>
      </c>
      <c r="G53" s="211">
        <f>SUM(D53:F53)</f>
        <v>0</v>
      </c>
      <c r="H53" s="239">
        <f>+C53-G53</f>
        <v>1803.42</v>
      </c>
    </row>
    <row r="54" spans="1:10" ht="13.8" x14ac:dyDescent="0.25">
      <c r="A54" t="s">
        <v>206</v>
      </c>
      <c r="B54" s="204" t="s">
        <v>146</v>
      </c>
      <c r="C54" s="233"/>
      <c r="D54" s="233"/>
      <c r="E54" s="233">
        <v>1500</v>
      </c>
      <c r="F54" s="233"/>
      <c r="G54" s="21"/>
      <c r="H54" s="234"/>
    </row>
    <row r="55" spans="1:10" ht="13.8" x14ac:dyDescent="0.25">
      <c r="A55" t="s">
        <v>206</v>
      </c>
      <c r="B55" s="146" t="s">
        <v>146</v>
      </c>
      <c r="C55" s="210"/>
      <c r="H55" s="235"/>
    </row>
    <row r="56" spans="1:10" ht="13.8" x14ac:dyDescent="0.25">
      <c r="A56" t="s">
        <v>206</v>
      </c>
      <c r="B56" s="236" t="s">
        <v>146</v>
      </c>
      <c r="C56" s="231">
        <v>1500</v>
      </c>
      <c r="D56" s="231">
        <f t="shared" ref="D56:F56" si="16">SUM(D54:D55)</f>
        <v>0</v>
      </c>
      <c r="E56" s="231">
        <f t="shared" si="16"/>
        <v>1500</v>
      </c>
      <c r="F56" s="231">
        <f t="shared" si="16"/>
        <v>0</v>
      </c>
      <c r="G56" s="231">
        <f>SUM(D56:F56)</f>
        <v>1500</v>
      </c>
      <c r="H56" s="237">
        <f>+C56-G56</f>
        <v>0</v>
      </c>
      <c r="J56" s="15" t="s">
        <v>275</v>
      </c>
    </row>
    <row r="57" spans="1:10" ht="13.8" x14ac:dyDescent="0.25">
      <c r="A57" t="s">
        <v>207</v>
      </c>
      <c r="B57" s="146" t="s">
        <v>139</v>
      </c>
      <c r="C57" s="210"/>
      <c r="H57" s="235"/>
    </row>
    <row r="58" spans="1:10" ht="13.8" x14ac:dyDescent="0.25">
      <c r="A58" t="s">
        <v>207</v>
      </c>
      <c r="B58" s="146" t="s">
        <v>139</v>
      </c>
      <c r="C58" s="210"/>
      <c r="H58" s="235"/>
    </row>
    <row r="59" spans="1:10" ht="13.8" x14ac:dyDescent="0.25">
      <c r="A59" t="s">
        <v>207</v>
      </c>
      <c r="B59" s="238" t="s">
        <v>139</v>
      </c>
      <c r="C59" s="211">
        <v>0</v>
      </c>
      <c r="D59" s="211">
        <f t="shared" ref="D59:F59" si="17">SUM(D57:D58)</f>
        <v>0</v>
      </c>
      <c r="E59" s="211">
        <f t="shared" si="17"/>
        <v>0</v>
      </c>
      <c r="F59" s="211">
        <f t="shared" si="17"/>
        <v>0</v>
      </c>
      <c r="G59" s="211">
        <f>SUM(D59:F59)</f>
        <v>0</v>
      </c>
      <c r="H59" s="239">
        <f>+C59-G59</f>
        <v>0</v>
      </c>
    </row>
    <row r="60" spans="1:10" ht="13.8" x14ac:dyDescent="0.25">
      <c r="A60" t="s">
        <v>208</v>
      </c>
      <c r="B60" s="204" t="s">
        <v>150</v>
      </c>
      <c r="C60" s="233"/>
      <c r="D60" s="233"/>
      <c r="E60" s="233"/>
      <c r="F60" s="233"/>
      <c r="G60" s="21"/>
      <c r="H60" s="234"/>
    </row>
    <row r="61" spans="1:10" ht="13.8" x14ac:dyDescent="0.25">
      <c r="A61" t="s">
        <v>208</v>
      </c>
      <c r="B61" s="146" t="s">
        <v>150</v>
      </c>
      <c r="C61" s="210"/>
      <c r="H61" s="235"/>
    </row>
    <row r="62" spans="1:10" ht="13.8" x14ac:dyDescent="0.25">
      <c r="A62" t="s">
        <v>208</v>
      </c>
      <c r="B62" s="236" t="s">
        <v>150</v>
      </c>
      <c r="C62" s="231">
        <v>800</v>
      </c>
      <c r="D62" s="231">
        <f t="shared" ref="D62:F62" si="18">SUM(D60:D61)</f>
        <v>0</v>
      </c>
      <c r="E62" s="231">
        <f t="shared" si="18"/>
        <v>0</v>
      </c>
      <c r="F62" s="231">
        <f t="shared" si="18"/>
        <v>0</v>
      </c>
      <c r="G62" s="231">
        <f>SUM(D62:F62)</f>
        <v>0</v>
      </c>
      <c r="H62" s="237">
        <f>+C62-G62</f>
        <v>800</v>
      </c>
      <c r="J62" s="15" t="s">
        <v>276</v>
      </c>
    </row>
    <row r="63" spans="1:10" ht="13.8" x14ac:dyDescent="0.25">
      <c r="A63" t="s">
        <v>209</v>
      </c>
      <c r="B63" s="146" t="s">
        <v>7</v>
      </c>
      <c r="C63" s="210"/>
      <c r="D63" s="210">
        <v>200</v>
      </c>
      <c r="H63" s="235"/>
    </row>
    <row r="64" spans="1:10" ht="13.8" x14ac:dyDescent="0.25">
      <c r="A64" t="s">
        <v>209</v>
      </c>
      <c r="B64" s="146" t="s">
        <v>7</v>
      </c>
      <c r="C64" s="210"/>
      <c r="H64" s="235"/>
    </row>
    <row r="65" spans="1:8" ht="13.8" x14ac:dyDescent="0.25">
      <c r="A65" t="s">
        <v>209</v>
      </c>
      <c r="B65" s="238" t="s">
        <v>7</v>
      </c>
      <c r="C65" s="211">
        <v>200</v>
      </c>
      <c r="D65" s="211">
        <f t="shared" ref="D65:F65" si="19">SUM(D63:D64)</f>
        <v>200</v>
      </c>
      <c r="E65" s="211">
        <f t="shared" si="19"/>
        <v>0</v>
      </c>
      <c r="F65" s="211">
        <f t="shared" si="19"/>
        <v>0</v>
      </c>
      <c r="G65" s="211">
        <f>SUM(D65:F65)</f>
        <v>200</v>
      </c>
      <c r="H65" s="239">
        <f>+C65-G65</f>
        <v>0</v>
      </c>
    </row>
    <row r="66" spans="1:8" ht="13.8" x14ac:dyDescent="0.25">
      <c r="A66" t="s">
        <v>210</v>
      </c>
      <c r="B66" s="204" t="s">
        <v>13</v>
      </c>
      <c r="C66" s="233"/>
      <c r="D66" s="233"/>
      <c r="E66" s="233"/>
      <c r="F66" s="233"/>
      <c r="G66" s="21"/>
      <c r="H66" s="234"/>
    </row>
    <row r="67" spans="1:8" ht="13.8" x14ac:dyDescent="0.25">
      <c r="A67" t="s">
        <v>210</v>
      </c>
      <c r="B67" s="146" t="s">
        <v>13</v>
      </c>
      <c r="C67" s="210"/>
      <c r="H67" s="235"/>
    </row>
    <row r="68" spans="1:8" ht="13.8" x14ac:dyDescent="0.25">
      <c r="A68" t="s">
        <v>210</v>
      </c>
      <c r="B68" s="236" t="s">
        <v>13</v>
      </c>
      <c r="C68" s="231">
        <v>0</v>
      </c>
      <c r="D68" s="231">
        <f t="shared" ref="D68:F68" si="20">SUM(D66:D67)</f>
        <v>0</v>
      </c>
      <c r="E68" s="231">
        <f t="shared" si="20"/>
        <v>0</v>
      </c>
      <c r="F68" s="231">
        <f t="shared" si="20"/>
        <v>0</v>
      </c>
      <c r="G68" s="231">
        <f>SUM(D68:F68)</f>
        <v>0</v>
      </c>
      <c r="H68" s="237">
        <f>+C68-G68</f>
        <v>0</v>
      </c>
    </row>
    <row r="69" spans="1:8" ht="13.8" x14ac:dyDescent="0.25">
      <c r="A69" t="s">
        <v>211</v>
      </c>
      <c r="B69" s="146" t="s">
        <v>15</v>
      </c>
      <c r="C69" s="210"/>
      <c r="H69" s="235"/>
    </row>
    <row r="70" spans="1:8" ht="13.8" x14ac:dyDescent="0.25">
      <c r="A70" t="s">
        <v>211</v>
      </c>
      <c r="B70" s="146" t="s">
        <v>15</v>
      </c>
      <c r="C70" s="210"/>
      <c r="H70" s="235"/>
    </row>
    <row r="71" spans="1:8" ht="13.8" x14ac:dyDescent="0.25">
      <c r="A71" t="s">
        <v>211</v>
      </c>
      <c r="B71" s="238" t="s">
        <v>15</v>
      </c>
      <c r="C71" s="211">
        <v>0</v>
      </c>
      <c r="D71" s="211">
        <f t="shared" ref="D71:F71" si="21">SUM(D69:D70)</f>
        <v>0</v>
      </c>
      <c r="E71" s="211">
        <f t="shared" si="21"/>
        <v>0</v>
      </c>
      <c r="F71" s="211">
        <f t="shared" si="21"/>
        <v>0</v>
      </c>
      <c r="G71" s="211">
        <f>SUM(D71:F71)</f>
        <v>0</v>
      </c>
      <c r="H71" s="239">
        <f>+C71-G71</f>
        <v>0</v>
      </c>
    </row>
    <row r="72" spans="1:8" ht="13.8" x14ac:dyDescent="0.25">
      <c r="A72" t="s">
        <v>212</v>
      </c>
      <c r="B72" s="204" t="s">
        <v>20</v>
      </c>
      <c r="C72" s="233"/>
      <c r="D72" s="233"/>
      <c r="E72" s="233">
        <v>500</v>
      </c>
      <c r="F72" s="233"/>
      <c r="G72" s="21"/>
      <c r="H72" s="234"/>
    </row>
    <row r="73" spans="1:8" ht="13.8" x14ac:dyDescent="0.25">
      <c r="A73" t="s">
        <v>212</v>
      </c>
      <c r="B73" s="146" t="s">
        <v>20</v>
      </c>
      <c r="C73" s="210"/>
      <c r="H73" s="235"/>
    </row>
    <row r="74" spans="1:8" ht="13.8" x14ac:dyDescent="0.25">
      <c r="A74" t="s">
        <v>212</v>
      </c>
      <c r="B74" s="236" t="s">
        <v>20</v>
      </c>
      <c r="C74" s="231">
        <v>500</v>
      </c>
      <c r="D74" s="231">
        <f t="shared" ref="D74:F74" si="22">SUM(D72:D73)</f>
        <v>0</v>
      </c>
      <c r="E74" s="231">
        <f t="shared" si="22"/>
        <v>500</v>
      </c>
      <c r="F74" s="231">
        <f t="shared" si="22"/>
        <v>0</v>
      </c>
      <c r="G74" s="231">
        <f>SUM(D74:F74)</f>
        <v>500</v>
      </c>
      <c r="H74" s="237">
        <f>+C74-G74</f>
        <v>0</v>
      </c>
    </row>
    <row r="75" spans="1:8" ht="13.8" x14ac:dyDescent="0.25">
      <c r="A75" t="s">
        <v>212</v>
      </c>
      <c r="B75" s="146" t="s">
        <v>153</v>
      </c>
      <c r="C75" s="210"/>
      <c r="H75" s="235"/>
    </row>
    <row r="76" spans="1:8" ht="13.8" x14ac:dyDescent="0.25">
      <c r="A76" t="s">
        <v>212</v>
      </c>
      <c r="B76" s="146" t="s">
        <v>153</v>
      </c>
      <c r="C76" s="210"/>
      <c r="H76" s="235"/>
    </row>
    <row r="77" spans="1:8" ht="13.8" x14ac:dyDescent="0.25">
      <c r="A77" t="s">
        <v>212</v>
      </c>
      <c r="B77" s="238" t="s">
        <v>153</v>
      </c>
      <c r="C77" s="211">
        <v>0</v>
      </c>
      <c r="D77" s="211">
        <f t="shared" ref="D77:F77" si="23">SUM(D75:D76)</f>
        <v>0</v>
      </c>
      <c r="E77" s="211">
        <f t="shared" si="23"/>
        <v>0</v>
      </c>
      <c r="F77" s="211">
        <f t="shared" si="23"/>
        <v>0</v>
      </c>
      <c r="G77" s="211">
        <f>SUM(D77:F77)</f>
        <v>0</v>
      </c>
      <c r="H77" s="239">
        <f>+C77-G77</f>
        <v>0</v>
      </c>
    </row>
    <row r="78" spans="1:8" ht="13.8" x14ac:dyDescent="0.25">
      <c r="A78" t="s">
        <v>213</v>
      </c>
      <c r="B78" s="204" t="s">
        <v>154</v>
      </c>
      <c r="C78" s="233"/>
      <c r="D78" s="233"/>
      <c r="E78" s="233">
        <v>250</v>
      </c>
      <c r="F78" s="233"/>
      <c r="G78" s="21"/>
      <c r="H78" s="234"/>
    </row>
    <row r="79" spans="1:8" ht="13.8" x14ac:dyDescent="0.25">
      <c r="A79" t="s">
        <v>213</v>
      </c>
      <c r="B79" s="146" t="s">
        <v>154</v>
      </c>
      <c r="C79" s="210"/>
      <c r="H79" s="235"/>
    </row>
    <row r="80" spans="1:8" ht="13.8" x14ac:dyDescent="0.25">
      <c r="A80" t="s">
        <v>213</v>
      </c>
      <c r="B80" s="236" t="s">
        <v>154</v>
      </c>
      <c r="C80" s="231">
        <v>250</v>
      </c>
      <c r="D80" s="231">
        <f t="shared" ref="D80:F80" si="24">SUM(D78:D79)</f>
        <v>0</v>
      </c>
      <c r="E80" s="231">
        <f t="shared" si="24"/>
        <v>250</v>
      </c>
      <c r="F80" s="231">
        <f t="shared" si="24"/>
        <v>0</v>
      </c>
      <c r="G80" s="231">
        <f>SUM(D80:F80)</f>
        <v>250</v>
      </c>
      <c r="H80" s="237">
        <f>+C80-G80</f>
        <v>0</v>
      </c>
    </row>
    <row r="81" spans="1:8" ht="13.8" x14ac:dyDescent="0.25">
      <c r="A81" t="s">
        <v>213</v>
      </c>
      <c r="B81" s="146" t="s">
        <v>155</v>
      </c>
      <c r="C81" s="210"/>
      <c r="H81" s="235"/>
    </row>
    <row r="82" spans="1:8" ht="13.8" x14ac:dyDescent="0.25">
      <c r="A82" t="s">
        <v>213</v>
      </c>
      <c r="B82" s="146" t="s">
        <v>155</v>
      </c>
      <c r="C82" s="210"/>
      <c r="H82" s="235"/>
    </row>
    <row r="83" spans="1:8" ht="13.8" x14ac:dyDescent="0.25">
      <c r="A83" t="s">
        <v>213</v>
      </c>
      <c r="B83" s="238" t="s">
        <v>155</v>
      </c>
      <c r="C83" s="211">
        <v>0</v>
      </c>
      <c r="D83" s="211">
        <f t="shared" ref="D83:F83" si="25">SUM(D81:D82)</f>
        <v>0</v>
      </c>
      <c r="E83" s="211">
        <f t="shared" si="25"/>
        <v>0</v>
      </c>
      <c r="F83" s="211">
        <f t="shared" si="25"/>
        <v>0</v>
      </c>
      <c r="G83" s="211">
        <f>SUM(D83:F83)</f>
        <v>0</v>
      </c>
      <c r="H83" s="239">
        <f>+C83-G83</f>
        <v>0</v>
      </c>
    </row>
    <row r="84" spans="1:8" ht="13.8" x14ac:dyDescent="0.25">
      <c r="A84" t="s">
        <v>214</v>
      </c>
      <c r="B84" s="204" t="s">
        <v>17</v>
      </c>
      <c r="C84" s="233"/>
      <c r="D84" s="233"/>
      <c r="E84" s="233"/>
      <c r="F84" s="233"/>
      <c r="G84" s="21"/>
      <c r="H84" s="234"/>
    </row>
    <row r="85" spans="1:8" ht="13.8" x14ac:dyDescent="0.25">
      <c r="A85" t="s">
        <v>214</v>
      </c>
      <c r="B85" s="146" t="s">
        <v>17</v>
      </c>
      <c r="C85" s="210"/>
      <c r="H85" s="235"/>
    </row>
    <row r="86" spans="1:8" ht="13.8" x14ac:dyDescent="0.25">
      <c r="A86" t="s">
        <v>214</v>
      </c>
      <c r="B86" s="236" t="s">
        <v>17</v>
      </c>
      <c r="C86" s="231">
        <v>0</v>
      </c>
      <c r="D86" s="231">
        <f t="shared" ref="D86:F86" si="26">SUM(D84:D85)</f>
        <v>0</v>
      </c>
      <c r="E86" s="231">
        <f t="shared" si="26"/>
        <v>0</v>
      </c>
      <c r="F86" s="231">
        <f t="shared" si="26"/>
        <v>0</v>
      </c>
      <c r="G86" s="231">
        <f>SUM(D86:F86)</f>
        <v>0</v>
      </c>
      <c r="H86" s="237">
        <f>+C86-G86</f>
        <v>0</v>
      </c>
    </row>
    <row r="87" spans="1:8" ht="13.8" x14ac:dyDescent="0.25">
      <c r="A87" t="s">
        <v>214</v>
      </c>
      <c r="B87" s="146" t="s">
        <v>265</v>
      </c>
      <c r="C87" s="210"/>
      <c r="H87" s="235"/>
    </row>
    <row r="88" spans="1:8" ht="13.8" x14ac:dyDescent="0.25">
      <c r="A88" t="s">
        <v>214</v>
      </c>
      <c r="B88" s="146" t="s">
        <v>248</v>
      </c>
      <c r="C88" s="210"/>
      <c r="H88" s="235"/>
    </row>
    <row r="89" spans="1:8" ht="13.8" x14ac:dyDescent="0.25">
      <c r="A89" t="s">
        <v>214</v>
      </c>
      <c r="B89" s="146" t="s">
        <v>129</v>
      </c>
      <c r="C89" s="210"/>
      <c r="H89" s="235"/>
    </row>
    <row r="90" spans="1:8" ht="13.8" x14ac:dyDescent="0.25">
      <c r="A90" t="s">
        <v>214</v>
      </c>
      <c r="B90" s="238" t="s">
        <v>129</v>
      </c>
      <c r="C90" s="211">
        <v>500</v>
      </c>
      <c r="D90" s="211">
        <f>SUM(D87:D89)</f>
        <v>0</v>
      </c>
      <c r="E90" s="211">
        <f>SUM(E87:E89)</f>
        <v>0</v>
      </c>
      <c r="F90" s="211">
        <f>SUM(F87:F89)</f>
        <v>0</v>
      </c>
      <c r="G90" s="211">
        <f>SUM(D90:F90)</f>
        <v>0</v>
      </c>
      <c r="H90" s="239">
        <f>+C90-G90</f>
        <v>500</v>
      </c>
    </row>
    <row r="91" spans="1:8" ht="13.8" x14ac:dyDescent="0.25">
      <c r="A91" t="s">
        <v>215</v>
      </c>
      <c r="B91" s="204" t="s">
        <v>260</v>
      </c>
      <c r="C91" s="233"/>
      <c r="D91" s="233">
        <v>302.39999999999998</v>
      </c>
      <c r="E91" s="233"/>
      <c r="F91" s="233"/>
      <c r="G91" s="21"/>
      <c r="H91" s="234"/>
    </row>
    <row r="92" spans="1:8" ht="13.8" x14ac:dyDescent="0.25">
      <c r="A92" t="s">
        <v>215</v>
      </c>
      <c r="B92" s="146" t="s">
        <v>260</v>
      </c>
      <c r="C92" s="210"/>
      <c r="H92" s="235"/>
    </row>
    <row r="93" spans="1:8" ht="13.8" x14ac:dyDescent="0.25">
      <c r="A93" t="s">
        <v>215</v>
      </c>
      <c r="B93" s="238" t="s">
        <v>260</v>
      </c>
      <c r="C93" s="211">
        <v>0</v>
      </c>
      <c r="D93" s="211">
        <f t="shared" ref="D93:F93" si="27">SUM(D91:D92)</f>
        <v>302.39999999999998</v>
      </c>
      <c r="E93" s="211">
        <f t="shared" si="27"/>
        <v>0</v>
      </c>
      <c r="F93" s="211">
        <f t="shared" si="27"/>
        <v>0</v>
      </c>
      <c r="G93" s="211">
        <f>SUM(D93:F93)</f>
        <v>302.39999999999998</v>
      </c>
      <c r="H93" s="239">
        <f>+C93-G93</f>
        <v>-302.39999999999998</v>
      </c>
    </row>
    <row r="94" spans="1:8" ht="13.8" x14ac:dyDescent="0.25">
      <c r="A94" t="s">
        <v>215</v>
      </c>
      <c r="B94" s="148" t="s">
        <v>23</v>
      </c>
      <c r="C94" s="232"/>
      <c r="D94" s="232">
        <f>17.7+18.23</f>
        <v>35.93</v>
      </c>
      <c r="E94" s="232">
        <v>18.23</v>
      </c>
      <c r="F94" s="232">
        <v>16.46</v>
      </c>
      <c r="G94" s="29"/>
      <c r="H94" s="240"/>
    </row>
    <row r="95" spans="1:8" ht="13.8" x14ac:dyDescent="0.25">
      <c r="A95" t="s">
        <v>215</v>
      </c>
      <c r="B95" s="146" t="s">
        <v>23</v>
      </c>
      <c r="C95" s="210"/>
      <c r="H95" s="235"/>
    </row>
    <row r="96" spans="1:8" ht="13.8" x14ac:dyDescent="0.25">
      <c r="A96" t="s">
        <v>215</v>
      </c>
      <c r="B96" s="238" t="s">
        <v>23</v>
      </c>
      <c r="C96" s="211">
        <v>45</v>
      </c>
      <c r="D96" s="211">
        <f t="shared" ref="D96:F96" si="28">SUM(D94:D95)</f>
        <v>35.93</v>
      </c>
      <c r="E96" s="211">
        <f t="shared" si="28"/>
        <v>18.23</v>
      </c>
      <c r="F96" s="211">
        <f t="shared" si="28"/>
        <v>16.46</v>
      </c>
      <c r="G96" s="211">
        <f>SUM(D96:F96)</f>
        <v>70.62</v>
      </c>
      <c r="H96" s="239">
        <f>+C96-G96</f>
        <v>-25.620000000000005</v>
      </c>
    </row>
    <row r="97" spans="1:8" ht="13.8" x14ac:dyDescent="0.25">
      <c r="A97" t="s">
        <v>216</v>
      </c>
      <c r="B97" s="146" t="s">
        <v>21</v>
      </c>
      <c r="C97" s="210"/>
      <c r="H97" s="235"/>
    </row>
    <row r="98" spans="1:8" ht="13.8" x14ac:dyDescent="0.25">
      <c r="A98" t="s">
        <v>216</v>
      </c>
      <c r="B98" s="146" t="s">
        <v>21</v>
      </c>
      <c r="C98" s="210"/>
      <c r="H98" s="235"/>
    </row>
    <row r="99" spans="1:8" ht="13.8" x14ac:dyDescent="0.25">
      <c r="A99" t="s">
        <v>216</v>
      </c>
      <c r="B99" s="238" t="s">
        <v>21</v>
      </c>
      <c r="C99" s="211">
        <v>0</v>
      </c>
      <c r="D99" s="211">
        <f t="shared" ref="D99:F99" si="29">SUM(D97:D98)</f>
        <v>0</v>
      </c>
      <c r="E99" s="211">
        <f t="shared" si="29"/>
        <v>0</v>
      </c>
      <c r="F99" s="211">
        <f t="shared" si="29"/>
        <v>0</v>
      </c>
      <c r="G99" s="211">
        <f>SUM(D99:F99)</f>
        <v>0</v>
      </c>
      <c r="H99" s="239">
        <f>+C99-G99</f>
        <v>0</v>
      </c>
    </row>
    <row r="100" spans="1:8" ht="13.8" x14ac:dyDescent="0.25">
      <c r="A100" t="s">
        <v>216</v>
      </c>
      <c r="B100" s="204" t="s">
        <v>26</v>
      </c>
      <c r="C100" s="233"/>
      <c r="D100" s="233"/>
      <c r="E100" s="233">
        <v>240</v>
      </c>
      <c r="F100" s="233"/>
      <c r="G100" s="21"/>
      <c r="H100" s="234"/>
    </row>
    <row r="101" spans="1:8" ht="13.8" x14ac:dyDescent="0.25">
      <c r="A101" t="s">
        <v>216</v>
      </c>
      <c r="B101" s="146" t="s">
        <v>26</v>
      </c>
      <c r="C101" s="210"/>
      <c r="H101" s="235"/>
    </row>
    <row r="102" spans="1:8" ht="13.8" x14ac:dyDescent="0.25">
      <c r="A102" t="s">
        <v>216</v>
      </c>
      <c r="B102" s="236" t="s">
        <v>26</v>
      </c>
      <c r="C102" s="231">
        <v>200</v>
      </c>
      <c r="D102" s="231">
        <f t="shared" ref="D102:F102" si="30">SUM(D100:D101)</f>
        <v>0</v>
      </c>
      <c r="E102" s="231">
        <f t="shared" si="30"/>
        <v>240</v>
      </c>
      <c r="F102" s="231">
        <f t="shared" si="30"/>
        <v>0</v>
      </c>
      <c r="G102" s="231">
        <f>SUM(D102:F102)</f>
        <v>240</v>
      </c>
      <c r="H102" s="237">
        <f>+C102-G102</f>
        <v>-40</v>
      </c>
    </row>
    <row r="103" spans="1:8" x14ac:dyDescent="0.25">
      <c r="A103" t="s">
        <v>126</v>
      </c>
      <c r="B103" s="244" t="s">
        <v>242</v>
      </c>
      <c r="C103" s="221">
        <f>+C102+C99+C96+C93+C90+C86+C83+C80+C77+C74+C71+C68+C65+C62+C59+C56+C53+C50+C47+C44+C41+C38+C35+C32+C29+C26+C23+C20+C17+C13+C10+C7</f>
        <v>10171.14</v>
      </c>
      <c r="D103" s="221">
        <f>+D102+D99+D96+D93+D90+D86+D83+D80+D77+D74+D71+D68+D65+D62+D59+D56+D53+D50+D47+D44+D41+D38+D35+D32+D29+D26+D23+D20+D17+D13+D10+D7</f>
        <v>2402.7599999999998</v>
      </c>
      <c r="E103" s="221">
        <f>+E102+E99+E96+E93+E90+E86+E83+E80+E77+E74+E71+E68+E65+E62+E59+E56+E53+E50+E47+E44+E41+E38+E35+E32+E29+E26+E23+E20+E17+E13+E10+E7</f>
        <v>4370.9400000000005</v>
      </c>
      <c r="F103" s="221">
        <f>+F102+F99+F96+F93+F90+F86+F83+F80+F77+F74+F71+F68+F65+F62+F59+F56+F53+F50+F47+F44+F41+F38+F35+F32+F29+F26+F23+F20+F17+F13+F10+F7</f>
        <v>1572.3400000000001</v>
      </c>
      <c r="G103" s="231">
        <f>SUM(D103:F103)</f>
        <v>8346.0400000000009</v>
      </c>
      <c r="H103" s="237">
        <f>+C103-G103</f>
        <v>1825.0999999999985</v>
      </c>
    </row>
    <row r="104" spans="1:8" x14ac:dyDescent="0.25">
      <c r="C104" s="210"/>
    </row>
    <row r="105" spans="1:8" s="77" customFormat="1" ht="13.8" x14ac:dyDescent="0.25">
      <c r="A105" s="113" t="s">
        <v>175</v>
      </c>
      <c r="B105" s="114"/>
      <c r="C105" s="212"/>
      <c r="D105" s="212"/>
      <c r="E105" s="212"/>
      <c r="F105" s="212"/>
    </row>
    <row r="106" spans="1:8" s="78" customFormat="1" ht="13.8" x14ac:dyDescent="0.25">
      <c r="A106" s="78" t="s">
        <v>227</v>
      </c>
      <c r="B106" s="121"/>
      <c r="C106" s="213"/>
      <c r="D106" s="213"/>
      <c r="E106" s="213"/>
      <c r="F106" s="213"/>
    </row>
    <row r="107" spans="1:8" s="78" customFormat="1" ht="13.8" x14ac:dyDescent="0.25">
      <c r="A107" s="78" t="s">
        <v>227</v>
      </c>
      <c r="B107" s="121"/>
      <c r="C107" s="213"/>
      <c r="D107" s="213"/>
      <c r="E107" s="213"/>
      <c r="F107" s="213"/>
    </row>
    <row r="108" spans="1:8" s="78" customFormat="1" ht="13.8" x14ac:dyDescent="0.25">
      <c r="A108" s="78" t="s">
        <v>227</v>
      </c>
      <c r="B108" s="121"/>
      <c r="C108" s="213"/>
      <c r="D108" s="213"/>
      <c r="E108" s="213"/>
      <c r="F108" s="213"/>
    </row>
    <row r="109" spans="1:8" s="78" customFormat="1" ht="13.8" x14ac:dyDescent="0.25">
      <c r="A109" s="78" t="s">
        <v>228</v>
      </c>
      <c r="B109" s="202"/>
      <c r="C109" s="213"/>
      <c r="D109" s="213"/>
      <c r="E109" s="213"/>
      <c r="F109" s="213"/>
    </row>
    <row r="110" spans="1:8" s="78" customFormat="1" ht="13.8" x14ac:dyDescent="0.25">
      <c r="A110" s="78" t="s">
        <v>228</v>
      </c>
      <c r="B110" s="201"/>
      <c r="C110" s="214"/>
      <c r="D110" s="214"/>
      <c r="E110" s="214"/>
      <c r="F110" s="214"/>
    </row>
    <row r="111" spans="1:8" s="78" customFormat="1" ht="13.8" x14ac:dyDescent="0.25">
      <c r="A111" s="113" t="s">
        <v>126</v>
      </c>
      <c r="B111" s="189"/>
      <c r="C111" s="215">
        <f t="shared" ref="C111" si="31">SUM(C106:C110)</f>
        <v>0</v>
      </c>
      <c r="D111" s="215">
        <f t="shared" ref="D111:F111" si="32">SUM(D106:D110)</f>
        <v>0</v>
      </c>
      <c r="E111" s="215">
        <f t="shared" si="32"/>
        <v>0</v>
      </c>
      <c r="F111" s="215">
        <f t="shared" si="32"/>
        <v>0</v>
      </c>
      <c r="G111" s="211">
        <f>SUM(D111:F111)</f>
        <v>0</v>
      </c>
      <c r="H111" s="210">
        <f>+C111-G111</f>
        <v>0</v>
      </c>
    </row>
    <row r="112" spans="1:8" x14ac:dyDescent="0.25">
      <c r="C112" s="210"/>
    </row>
    <row r="113" spans="1:8" ht="13.8" x14ac:dyDescent="0.25">
      <c r="A113" s="113" t="s">
        <v>194</v>
      </c>
      <c r="B113" s="203"/>
      <c r="C113" s="212"/>
      <c r="D113" s="212"/>
      <c r="E113" s="212"/>
      <c r="F113" s="212"/>
    </row>
    <row r="114" spans="1:8" ht="13.8" x14ac:dyDescent="0.25">
      <c r="A114" t="s">
        <v>229</v>
      </c>
      <c r="B114" s="202" t="s">
        <v>240</v>
      </c>
      <c r="C114" s="216"/>
      <c r="D114" s="216"/>
      <c r="E114" s="216"/>
      <c r="F114" s="216"/>
    </row>
    <row r="115" spans="1:8" ht="13.8" x14ac:dyDescent="0.25">
      <c r="A115" t="s">
        <v>230</v>
      </c>
      <c r="B115" s="202" t="s">
        <v>241</v>
      </c>
      <c r="C115" s="216"/>
      <c r="D115" s="216"/>
      <c r="E115" s="216"/>
      <c r="F115" s="216"/>
    </row>
    <row r="116" spans="1:8" ht="13.8" x14ac:dyDescent="0.25">
      <c r="A116" t="s">
        <v>231</v>
      </c>
      <c r="B116" s="202" t="s">
        <v>93</v>
      </c>
      <c r="C116" s="217"/>
      <c r="D116" s="217"/>
      <c r="E116" s="217"/>
      <c r="F116" s="217"/>
    </row>
    <row r="117" spans="1:8" ht="13.8" x14ac:dyDescent="0.25">
      <c r="A117" s="113" t="s">
        <v>126</v>
      </c>
      <c r="B117" s="196"/>
      <c r="C117" s="212">
        <f t="shared" ref="C117" si="33">SUM(C114:C116)</f>
        <v>0</v>
      </c>
      <c r="D117" s="212">
        <f t="shared" ref="D117:F117" si="34">SUM(D114:D116)</f>
        <v>0</v>
      </c>
      <c r="E117" s="212">
        <f t="shared" si="34"/>
        <v>0</v>
      </c>
      <c r="F117" s="212">
        <f t="shared" si="34"/>
        <v>0</v>
      </c>
      <c r="G117" s="211">
        <f>SUM(D117:F117)</f>
        <v>0</v>
      </c>
      <c r="H117" s="210">
        <f>+C117-G117</f>
        <v>0</v>
      </c>
    </row>
    <row r="118" spans="1:8" x14ac:dyDescent="0.25">
      <c r="C118" s="210"/>
    </row>
    <row r="119" spans="1:8" ht="13.8" x14ac:dyDescent="0.25">
      <c r="A119" s="113" t="s">
        <v>174</v>
      </c>
      <c r="B119" s="114"/>
      <c r="C119" s="212"/>
      <c r="D119" s="212"/>
      <c r="E119" s="212"/>
      <c r="F119" s="212"/>
    </row>
    <row r="120" spans="1:8" ht="13.8" x14ac:dyDescent="0.25">
      <c r="A120" t="s">
        <v>232</v>
      </c>
      <c r="B120" s="204" t="s">
        <v>238</v>
      </c>
      <c r="C120" s="218"/>
      <c r="D120" s="218"/>
      <c r="E120" s="218"/>
      <c r="F120" s="218"/>
    </row>
    <row r="121" spans="1:8" ht="13.8" x14ac:dyDescent="0.25">
      <c r="A121" s="205" t="s">
        <v>232</v>
      </c>
      <c r="B121" s="146" t="s">
        <v>263</v>
      </c>
      <c r="C121" s="216"/>
      <c r="D121" s="216"/>
      <c r="E121" s="216"/>
      <c r="F121" s="216"/>
    </row>
    <row r="122" spans="1:8" ht="13.8" x14ac:dyDescent="0.25">
      <c r="A122" s="205"/>
      <c r="B122" s="146"/>
      <c r="C122" s="216"/>
      <c r="D122" s="216"/>
      <c r="E122" s="216"/>
      <c r="F122" s="216"/>
    </row>
    <row r="123" spans="1:8" ht="13.8" x14ac:dyDescent="0.25">
      <c r="A123" t="s">
        <v>232</v>
      </c>
      <c r="B123" s="137"/>
      <c r="C123" s="217"/>
      <c r="D123" s="217"/>
      <c r="E123" s="217"/>
      <c r="F123" s="217"/>
    </row>
    <row r="124" spans="1:8" ht="13.8" x14ac:dyDescent="0.25">
      <c r="A124" s="113" t="s">
        <v>126</v>
      </c>
      <c r="B124" s="114"/>
      <c r="C124" s="219">
        <f>SUM(C120:C123)</f>
        <v>0</v>
      </c>
      <c r="D124" s="219">
        <f>SUM(D120:D123)</f>
        <v>0</v>
      </c>
      <c r="E124" s="219">
        <f t="shared" ref="E124:F124" si="35">SUM(E120:E123)</f>
        <v>0</v>
      </c>
      <c r="F124" s="219">
        <f t="shared" si="35"/>
        <v>0</v>
      </c>
      <c r="G124" s="211">
        <f>SUM(D124:F124)</f>
        <v>0</v>
      </c>
      <c r="H124" s="210">
        <f>+C124-G124</f>
        <v>0</v>
      </c>
    </row>
    <row r="125" spans="1:8" x14ac:dyDescent="0.25">
      <c r="C125" s="210"/>
    </row>
    <row r="126" spans="1:8" ht="13.8" x14ac:dyDescent="0.25">
      <c r="A126" s="113" t="s">
        <v>197</v>
      </c>
      <c r="B126" s="114"/>
      <c r="C126" s="212"/>
      <c r="D126" s="212"/>
      <c r="E126" s="212"/>
      <c r="F126" s="212"/>
    </row>
    <row r="127" spans="1:8" ht="13.8" x14ac:dyDescent="0.25">
      <c r="A127" s="146" t="s">
        <v>233</v>
      </c>
      <c r="B127" s="202"/>
      <c r="C127" s="216"/>
      <c r="D127" s="216"/>
      <c r="E127" s="216"/>
      <c r="F127" s="216"/>
    </row>
    <row r="128" spans="1:8" ht="13.8" x14ac:dyDescent="0.25">
      <c r="A128" s="146" t="s">
        <v>233</v>
      </c>
      <c r="B128" s="84"/>
      <c r="C128" s="216"/>
      <c r="D128" s="216"/>
      <c r="E128" s="216"/>
      <c r="F128" s="216"/>
    </row>
    <row r="129" spans="1:8" ht="13.8" x14ac:dyDescent="0.25">
      <c r="A129" s="146" t="s">
        <v>233</v>
      </c>
      <c r="B129" s="68"/>
      <c r="C129" s="217"/>
      <c r="D129" s="217"/>
      <c r="E129" s="217"/>
      <c r="F129" s="217"/>
    </row>
    <row r="130" spans="1:8" ht="13.8" x14ac:dyDescent="0.25">
      <c r="A130" s="113" t="s">
        <v>126</v>
      </c>
      <c r="B130" s="114"/>
      <c r="C130" s="223">
        <f>SUM(C127:C129)</f>
        <v>0</v>
      </c>
      <c r="D130" s="223">
        <f>SUM(D127:D129)</f>
        <v>0</v>
      </c>
      <c r="E130" s="223">
        <f t="shared" ref="E130:F130" si="36">SUM(E127:E129)</f>
        <v>0</v>
      </c>
      <c r="F130" s="223">
        <f t="shared" si="36"/>
        <v>0</v>
      </c>
      <c r="G130" s="211">
        <f>SUM(D130:F130)</f>
        <v>0</v>
      </c>
      <c r="H130" s="210">
        <f>+C130-G130</f>
        <v>0</v>
      </c>
    </row>
    <row r="131" spans="1:8" x14ac:dyDescent="0.25">
      <c r="C131" s="210"/>
    </row>
    <row r="132" spans="1:8" ht="13.8" x14ac:dyDescent="0.25">
      <c r="A132" s="206" t="s">
        <v>193</v>
      </c>
      <c r="B132" s="203"/>
      <c r="C132" s="220"/>
      <c r="D132" s="220"/>
      <c r="E132" s="220"/>
      <c r="F132" s="220"/>
    </row>
    <row r="133" spans="1:8" ht="13.8" x14ac:dyDescent="0.25">
      <c r="A133" s="209"/>
      <c r="B133" s="147"/>
      <c r="C133" s="216"/>
      <c r="D133" s="216"/>
      <c r="E133" s="216"/>
      <c r="F133" s="216"/>
    </row>
    <row r="134" spans="1:8" ht="13.8" x14ac:dyDescent="0.25">
      <c r="A134" s="209"/>
      <c r="B134" s="147"/>
      <c r="C134" s="216"/>
      <c r="D134" s="216"/>
      <c r="E134" s="216"/>
      <c r="F134" s="216"/>
    </row>
    <row r="135" spans="1:8" ht="13.8" x14ac:dyDescent="0.25">
      <c r="A135" s="209"/>
      <c r="B135" s="147"/>
      <c r="C135" s="216"/>
      <c r="D135" s="216"/>
      <c r="E135" s="216"/>
      <c r="F135" s="216"/>
    </row>
    <row r="136" spans="1:8" ht="13.8" x14ac:dyDescent="0.25">
      <c r="A136" s="207"/>
      <c r="B136" s="208"/>
      <c r="C136" s="221">
        <f t="shared" ref="C136" si="37">SUM(C133:C135)</f>
        <v>0</v>
      </c>
      <c r="D136" s="221">
        <f t="shared" ref="D136:E136" si="38">SUM(D133:D135)</f>
        <v>0</v>
      </c>
      <c r="E136" s="221">
        <f t="shared" si="38"/>
        <v>0</v>
      </c>
      <c r="F136" s="221">
        <f>SUM(F133:F135)</f>
        <v>0</v>
      </c>
      <c r="G136" s="211">
        <f>SUM(D136:F136)</f>
        <v>0</v>
      </c>
      <c r="H136" s="210">
        <f>+C136-G136</f>
        <v>0</v>
      </c>
    </row>
    <row r="137" spans="1:8" x14ac:dyDescent="0.25">
      <c r="C137" s="210"/>
    </row>
    <row r="138" spans="1:8" ht="13.8" x14ac:dyDescent="0.25">
      <c r="A138" s="206" t="s">
        <v>245</v>
      </c>
      <c r="B138" s="203"/>
      <c r="C138" s="220"/>
      <c r="D138" s="220"/>
      <c r="E138" s="220"/>
      <c r="F138" s="220"/>
    </row>
    <row r="139" spans="1:8" ht="13.8" x14ac:dyDescent="0.25">
      <c r="A139" s="209"/>
      <c r="B139" s="147"/>
      <c r="C139" s="216"/>
      <c r="D139" s="216"/>
      <c r="E139" s="216"/>
      <c r="F139" s="216"/>
    </row>
    <row r="140" spans="1:8" ht="13.8" x14ac:dyDescent="0.25">
      <c r="A140" s="202"/>
      <c r="B140" s="147"/>
      <c r="C140" s="216"/>
      <c r="D140" s="216"/>
      <c r="E140" s="216"/>
      <c r="F140" s="216"/>
    </row>
    <row r="141" spans="1:8" ht="13.8" x14ac:dyDescent="0.25">
      <c r="A141" s="202"/>
      <c r="B141" s="147"/>
      <c r="C141" s="216"/>
      <c r="D141" s="216"/>
      <c r="E141" s="216"/>
      <c r="F141" s="216"/>
    </row>
    <row r="142" spans="1:8" ht="13.8" x14ac:dyDescent="0.25">
      <c r="A142" s="202"/>
      <c r="B142" s="147"/>
      <c r="C142" s="216"/>
      <c r="D142" s="216"/>
      <c r="E142" s="216"/>
      <c r="F142" s="216"/>
    </row>
    <row r="143" spans="1:8" ht="13.8" x14ac:dyDescent="0.25">
      <c r="A143" s="202"/>
      <c r="B143" s="147"/>
      <c r="C143" s="216"/>
      <c r="D143" s="216"/>
      <c r="E143" s="216"/>
      <c r="F143" s="216"/>
    </row>
    <row r="144" spans="1:8" ht="13.8" x14ac:dyDescent="0.25">
      <c r="A144" s="202"/>
      <c r="B144" s="147"/>
      <c r="C144" s="216"/>
      <c r="D144" s="216"/>
      <c r="E144" s="216"/>
      <c r="F144" s="216"/>
    </row>
    <row r="145" spans="1:8" ht="13.8" x14ac:dyDescent="0.25">
      <c r="A145" s="202"/>
      <c r="B145" s="147"/>
      <c r="C145" s="216"/>
      <c r="D145" s="216"/>
      <c r="E145" s="216"/>
      <c r="F145" s="216"/>
    </row>
    <row r="146" spans="1:8" ht="13.8" x14ac:dyDescent="0.25">
      <c r="A146" s="209"/>
      <c r="B146" s="147"/>
      <c r="C146" s="216"/>
      <c r="D146" s="216"/>
      <c r="E146" s="216"/>
      <c r="F146" s="216"/>
    </row>
    <row r="147" spans="1:8" ht="13.8" x14ac:dyDescent="0.25">
      <c r="A147" s="207"/>
      <c r="B147" s="208"/>
      <c r="C147" s="221">
        <f t="shared" ref="C147" si="39">SUM(C139:C146)</f>
        <v>0</v>
      </c>
      <c r="D147" s="221">
        <f t="shared" ref="D147:E147" si="40">SUM(D139:D146)</f>
        <v>0</v>
      </c>
      <c r="E147" s="221">
        <f t="shared" si="40"/>
        <v>0</v>
      </c>
      <c r="F147" s="221">
        <f>SUM(F139:F146)</f>
        <v>0</v>
      </c>
      <c r="G147" s="211">
        <f>SUM(D147:F147)</f>
        <v>0</v>
      </c>
      <c r="H147" s="210">
        <f>+C147-G147</f>
        <v>0</v>
      </c>
    </row>
    <row r="148" spans="1:8" x14ac:dyDescent="0.25">
      <c r="C148" s="210"/>
    </row>
    <row r="149" spans="1:8" x14ac:dyDescent="0.25">
      <c r="C149" s="210"/>
    </row>
    <row r="150" spans="1:8" x14ac:dyDescent="0.25">
      <c r="C150" s="210"/>
    </row>
    <row r="151" spans="1:8" x14ac:dyDescent="0.25">
      <c r="A151" s="15" t="s">
        <v>244</v>
      </c>
      <c r="C151" s="210">
        <f t="shared" ref="C151:F151" si="41">+C136+C130+C124+C117+C103+C111+C147</f>
        <v>10171.14</v>
      </c>
      <c r="D151" s="210">
        <f t="shared" si="41"/>
        <v>2402.7599999999998</v>
      </c>
      <c r="E151" s="210">
        <f t="shared" si="41"/>
        <v>4370.9400000000005</v>
      </c>
      <c r="F151" s="210">
        <f t="shared" si="41"/>
        <v>1572.3400000000001</v>
      </c>
      <c r="G151" s="211">
        <f>SUM(D151:F151)</f>
        <v>8346.0400000000009</v>
      </c>
      <c r="H151" s="210">
        <f>+C151-G151</f>
        <v>1825.0999999999985</v>
      </c>
    </row>
    <row r="155" spans="1:8" x14ac:dyDescent="0.25">
      <c r="B155" t="s">
        <v>234</v>
      </c>
    </row>
    <row r="156" spans="1:8" x14ac:dyDescent="0.25">
      <c r="B156" t="s">
        <v>262</v>
      </c>
    </row>
  </sheetData>
  <conditionalFormatting sqref="H1:H1048576">
    <cfRule type="cellIs" dxfId="18" priority="1" operator="greaterThan">
      <formula>0</formula>
    </cfRule>
    <cfRule type="cellIs" dxfId="17" priority="2" operator="lessThan">
      <formula>0</formula>
    </cfRule>
  </conditionalFormatting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63459-A874-4614-8620-858E95F7D58D}">
  <sheetPr>
    <tabColor rgb="FF00B050"/>
    <pageSetUpPr fitToPage="1"/>
  </sheetPr>
  <dimension ref="A1:Y163"/>
  <sheetViews>
    <sheetView showGridLines="0" zoomScale="92" zoomScaleNormal="90" workbookViewId="0">
      <pane xSplit="2" ySplit="2" topLeftCell="C133" activePane="bottomRight" state="frozenSplit"/>
      <selection pane="topRight" activeCell="J1" sqref="J1"/>
      <selection pane="bottomLeft" activeCell="A6" sqref="A6"/>
      <selection pane="bottomRight" activeCell="B165" sqref="B165"/>
    </sheetView>
  </sheetViews>
  <sheetFormatPr defaultRowHeight="13.2" outlineLevelRow="1" outlineLevelCol="1" x14ac:dyDescent="0.25"/>
  <cols>
    <col min="1" max="1" width="4.44140625" customWidth="1"/>
    <col min="2" max="2" width="40.21875" customWidth="1"/>
    <col min="3" max="3" width="8.5546875" customWidth="1"/>
    <col min="4" max="4" width="8.21875" customWidth="1"/>
    <col min="5" max="5" width="8" customWidth="1"/>
    <col min="6" max="6" width="9" style="210" customWidth="1" outlineLevel="1"/>
    <col min="7" max="7" width="8.77734375" style="210" customWidth="1" outlineLevel="1"/>
    <col min="8" max="8" width="7.88671875" style="210" customWidth="1" outlineLevel="1"/>
    <col min="9" max="9" width="8.6640625" style="210" customWidth="1" outlineLevel="1"/>
    <col min="10" max="10" width="11.77734375" style="210" customWidth="1" outlineLevel="1"/>
    <col min="11" max="11" width="7.44140625" style="210" customWidth="1"/>
    <col min="12" max="12" width="8.88671875" style="210" customWidth="1"/>
    <col min="13" max="16" width="7.44140625" style="210" customWidth="1"/>
    <col min="17" max="17" width="8.33203125" style="210" customWidth="1"/>
    <col min="18" max="18" width="8.88671875" style="12"/>
    <col min="19" max="19" width="13.33203125" customWidth="1"/>
    <col min="20" max="20" width="3.5546875" customWidth="1"/>
    <col min="21" max="21" width="8.88671875" style="12"/>
  </cols>
  <sheetData>
    <row r="1" spans="1:25" ht="3.6" customHeight="1" x14ac:dyDescent="0.25">
      <c r="F1" s="210" t="s">
        <v>306</v>
      </c>
      <c r="G1" s="210" t="s">
        <v>306</v>
      </c>
      <c r="H1" s="210" t="s">
        <v>306</v>
      </c>
    </row>
    <row r="2" spans="1:25" s="49" customFormat="1" ht="37.799999999999997" customHeight="1" x14ac:dyDescent="0.25">
      <c r="A2" s="316" t="s">
        <v>290</v>
      </c>
      <c r="B2" s="317"/>
      <c r="C2" s="69" t="s">
        <v>234</v>
      </c>
      <c r="D2" s="69" t="s">
        <v>285</v>
      </c>
      <c r="E2" s="69" t="s">
        <v>271</v>
      </c>
      <c r="F2" s="309" t="s">
        <v>235</v>
      </c>
      <c r="G2" s="309" t="s">
        <v>236</v>
      </c>
      <c r="H2" s="309" t="s">
        <v>246</v>
      </c>
      <c r="I2" s="309" t="s">
        <v>251</v>
      </c>
      <c r="J2" s="309" t="s">
        <v>250</v>
      </c>
      <c r="K2" s="309" t="s">
        <v>252</v>
      </c>
      <c r="L2" s="309" t="s">
        <v>253</v>
      </c>
      <c r="M2" s="245" t="s">
        <v>254</v>
      </c>
      <c r="N2" s="245" t="s">
        <v>255</v>
      </c>
      <c r="O2" s="245" t="s">
        <v>256</v>
      </c>
      <c r="P2" s="245" t="s">
        <v>257</v>
      </c>
      <c r="Q2" s="245" t="s">
        <v>258</v>
      </c>
      <c r="R2" s="267" t="s">
        <v>126</v>
      </c>
      <c r="S2" s="245" t="s">
        <v>318</v>
      </c>
      <c r="U2" s="47" t="s">
        <v>304</v>
      </c>
      <c r="V2" s="49" t="s">
        <v>351</v>
      </c>
      <c r="W2" s="286">
        <v>1.04</v>
      </c>
      <c r="Y2" s="289">
        <f>+L145</f>
        <v>82063</v>
      </c>
    </row>
    <row r="3" spans="1:25" ht="13.8" x14ac:dyDescent="0.25">
      <c r="A3" s="132" t="s">
        <v>308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5" ht="13.8" x14ac:dyDescent="0.25">
      <c r="A4" s="15" t="s">
        <v>281</v>
      </c>
      <c r="B4" s="83" t="s">
        <v>286</v>
      </c>
      <c r="F4" s="306">
        <v>716.16</v>
      </c>
      <c r="G4" s="211">
        <v>732.88</v>
      </c>
      <c r="H4" s="211">
        <v>708.16</v>
      </c>
      <c r="I4" s="211">
        <v>753.12</v>
      </c>
      <c r="J4" s="211">
        <v>803.08</v>
      </c>
      <c r="K4" s="211">
        <f>839.48+26</f>
        <v>865.48</v>
      </c>
      <c r="L4" s="211">
        <v>772.4</v>
      </c>
      <c r="M4" s="211">
        <v>772.4</v>
      </c>
      <c r="N4" s="210">
        <f t="shared" ref="M4:Q5" si="0">+M4</f>
        <v>772.4</v>
      </c>
      <c r="O4" s="210">
        <f t="shared" si="0"/>
        <v>772.4</v>
      </c>
      <c r="P4" s="210">
        <f t="shared" si="0"/>
        <v>772.4</v>
      </c>
      <c r="Q4" s="210">
        <f t="shared" si="0"/>
        <v>772.4</v>
      </c>
      <c r="R4" s="268">
        <f>SUM(F4:Q4)</f>
        <v>9213.279999999997</v>
      </c>
    </row>
    <row r="5" spans="1:25" ht="13.8" x14ac:dyDescent="0.25">
      <c r="A5" s="246"/>
      <c r="B5" s="230" t="s">
        <v>325</v>
      </c>
      <c r="C5" s="318">
        <f>+'BudgerandActual Spend 24-25'!I5</f>
        <v>11092.2</v>
      </c>
      <c r="D5" s="318">
        <f>+'Spend Jan-Mar25'!H7</f>
        <v>-968.96</v>
      </c>
      <c r="E5" s="318">
        <f>+D5+C5</f>
        <v>10123.240000000002</v>
      </c>
      <c r="F5" s="231">
        <f>SUM(F4:F4)</f>
        <v>716.16</v>
      </c>
      <c r="G5" s="231">
        <f>SUM(G4:G4)</f>
        <v>732.88</v>
      </c>
      <c r="H5" s="231">
        <f>SUM(H4:H4)</f>
        <v>708.16</v>
      </c>
      <c r="I5" s="231">
        <f>SUM(I4:I4)</f>
        <v>753.12</v>
      </c>
      <c r="J5" s="231">
        <v>803.08</v>
      </c>
      <c r="K5" s="231">
        <f>SUM(K4)</f>
        <v>865.48</v>
      </c>
      <c r="L5" s="231">
        <f>SUM(L4)</f>
        <v>772.4</v>
      </c>
      <c r="M5" s="231">
        <f t="shared" si="0"/>
        <v>772.4</v>
      </c>
      <c r="N5" s="247">
        <f t="shared" si="0"/>
        <v>772.4</v>
      </c>
      <c r="O5" s="247">
        <f t="shared" si="0"/>
        <v>772.4</v>
      </c>
      <c r="P5" s="247">
        <f t="shared" si="0"/>
        <v>772.4</v>
      </c>
      <c r="Q5" s="247">
        <f t="shared" si="0"/>
        <v>772.4</v>
      </c>
      <c r="R5" s="314">
        <f>SUM(F5:Q5)</f>
        <v>9213.279999999997</v>
      </c>
      <c r="S5" s="308">
        <f>+E5-R5</f>
        <v>909.96000000000458</v>
      </c>
      <c r="T5" s="29"/>
      <c r="U5" s="285">
        <f>+ROUND(R5*Inflation_Rate,0)</f>
        <v>9582</v>
      </c>
    </row>
    <row r="6" spans="1:25" ht="13.8" x14ac:dyDescent="0.25">
      <c r="A6" s="15" t="s">
        <v>281</v>
      </c>
      <c r="B6" s="83" t="s">
        <v>141</v>
      </c>
      <c r="F6" s="211">
        <v>642.92999999999995</v>
      </c>
      <c r="I6" s="211">
        <v>744.73</v>
      </c>
      <c r="L6" s="211">
        <v>806.14</v>
      </c>
      <c r="O6" s="210">
        <v>760</v>
      </c>
      <c r="S6" s="243"/>
    </row>
    <row r="7" spans="1:25" ht="13.8" x14ac:dyDescent="0.25">
      <c r="A7" s="29"/>
      <c r="B7" s="230" t="s">
        <v>326</v>
      </c>
      <c r="C7" s="318">
        <f>+'BudgerandActual Spend 24-25'!I7</f>
        <v>3500</v>
      </c>
      <c r="D7" s="318">
        <f>+'Spend Jan-Mar25'!H13</f>
        <v>-270.27999999999997</v>
      </c>
      <c r="E7" s="318">
        <f>+D7+C7</f>
        <v>3229.7200000000003</v>
      </c>
      <c r="F7" s="231">
        <f t="shared" ref="F7:Q7" si="1">SUM(F6:F6)</f>
        <v>642.92999999999995</v>
      </c>
      <c r="G7" s="231">
        <f t="shared" si="1"/>
        <v>0</v>
      </c>
      <c r="H7" s="231">
        <f t="shared" si="1"/>
        <v>0</v>
      </c>
      <c r="I7" s="231">
        <f t="shared" si="1"/>
        <v>744.73</v>
      </c>
      <c r="J7" s="231">
        <f t="shared" si="1"/>
        <v>0</v>
      </c>
      <c r="K7" s="231">
        <f t="shared" si="1"/>
        <v>0</v>
      </c>
      <c r="L7" s="231">
        <f t="shared" si="1"/>
        <v>806.14</v>
      </c>
      <c r="M7" s="231">
        <f t="shared" si="1"/>
        <v>0</v>
      </c>
      <c r="N7" s="247">
        <f t="shared" si="1"/>
        <v>0</v>
      </c>
      <c r="O7" s="247">
        <f t="shared" si="1"/>
        <v>760</v>
      </c>
      <c r="P7" s="247">
        <f t="shared" si="1"/>
        <v>0</v>
      </c>
      <c r="Q7" s="247">
        <f t="shared" si="1"/>
        <v>0</v>
      </c>
      <c r="R7" s="314">
        <f>SUM(F7:Q7)</f>
        <v>2953.7999999999997</v>
      </c>
      <c r="S7" s="308">
        <f>+E7-R7</f>
        <v>275.92000000000053</v>
      </c>
      <c r="T7" s="29"/>
      <c r="U7" s="285">
        <f>+ROUND(R7*Inflation_Rate,0)</f>
        <v>3072</v>
      </c>
    </row>
    <row r="8" spans="1:25" ht="13.8" x14ac:dyDescent="0.25">
      <c r="A8" s="15" t="s">
        <v>281</v>
      </c>
      <c r="B8" s="83" t="s">
        <v>277</v>
      </c>
      <c r="F8" s="258">
        <v>17.98</v>
      </c>
      <c r="G8" s="211">
        <v>95.59</v>
      </c>
      <c r="J8" s="211">
        <v>95.59</v>
      </c>
      <c r="N8" s="210">
        <v>125</v>
      </c>
      <c r="Q8" s="210">
        <v>125</v>
      </c>
      <c r="R8" s="268">
        <f>SUM(F8:Q8)</f>
        <v>459.16</v>
      </c>
    </row>
    <row r="9" spans="1:25" ht="13.8" x14ac:dyDescent="0.25">
      <c r="A9" s="15" t="s">
        <v>281</v>
      </c>
      <c r="B9" s="83" t="s">
        <v>291</v>
      </c>
      <c r="J9" s="211">
        <v>10.99</v>
      </c>
      <c r="Q9" s="210">
        <v>30</v>
      </c>
      <c r="R9" s="268">
        <f>SUM(F9:Q9)</f>
        <v>40.99</v>
      </c>
    </row>
    <row r="10" spans="1:25" ht="13.8" x14ac:dyDescent="0.25">
      <c r="A10" s="257" t="s">
        <v>281</v>
      </c>
      <c r="B10" s="83" t="s">
        <v>383</v>
      </c>
      <c r="I10" s="211">
        <f>12.36+12.1+12.1</f>
        <v>36.56</v>
      </c>
      <c r="K10" s="211">
        <v>12.1</v>
      </c>
      <c r="L10" s="258"/>
      <c r="M10" s="211">
        <v>12.1</v>
      </c>
      <c r="N10" s="210">
        <v>12.1</v>
      </c>
      <c r="O10" s="210">
        <v>12.1</v>
      </c>
      <c r="P10" s="210">
        <v>12.1</v>
      </c>
      <c r="Q10" s="210">
        <v>12.1</v>
      </c>
      <c r="R10" s="268">
        <f>SUM(F10:Q10)</f>
        <v>109.15999999999998</v>
      </c>
    </row>
    <row r="11" spans="1:25" ht="13.8" x14ac:dyDescent="0.25">
      <c r="A11" s="29"/>
      <c r="B11" s="230" t="s">
        <v>327</v>
      </c>
      <c r="C11" s="318">
        <f>+'BudgerandActual Spend 24-25'!I8</f>
        <v>504</v>
      </c>
      <c r="D11" s="318">
        <f>+'Spend Jan-Mar25'!H17</f>
        <v>143.93999999999994</v>
      </c>
      <c r="E11" s="318">
        <f>+D11+C11</f>
        <v>647.93999999999994</v>
      </c>
      <c r="F11" s="231">
        <f>SUM(F8:F10)</f>
        <v>17.98</v>
      </c>
      <c r="G11" s="231">
        <f>SUM(G8:G10)</f>
        <v>95.59</v>
      </c>
      <c r="H11" s="231">
        <f t="shared" ref="H11:J11" si="2">SUM(H8:H10)</f>
        <v>0</v>
      </c>
      <c r="I11" s="231">
        <f t="shared" si="2"/>
        <v>36.56</v>
      </c>
      <c r="J11" s="231">
        <f t="shared" si="2"/>
        <v>106.58</v>
      </c>
      <c r="K11" s="231">
        <f>SUM(K8:K10)</f>
        <v>12.1</v>
      </c>
      <c r="L11" s="231">
        <f t="shared" ref="L11" si="3">SUM(L8:L10)</f>
        <v>0</v>
      </c>
      <c r="M11" s="231">
        <f>SUM(M8:M10)</f>
        <v>12.1</v>
      </c>
      <c r="N11" s="247">
        <f t="shared" ref="N11" si="4">SUM(N8:N10)</f>
        <v>137.1</v>
      </c>
      <c r="O11" s="247">
        <f t="shared" ref="O11" si="5">SUM(O8:O10)</f>
        <v>12.1</v>
      </c>
      <c r="P11" s="247">
        <f t="shared" ref="P11" si="6">SUM(P8:P10)</f>
        <v>12.1</v>
      </c>
      <c r="Q11" s="247">
        <f>SUM(Q8:Q10)</f>
        <v>167.1</v>
      </c>
      <c r="R11" s="314">
        <f>SUM(F11:Q11)</f>
        <v>609.31000000000006</v>
      </c>
      <c r="S11" s="308">
        <f>+E11-R11</f>
        <v>38.629999999999882</v>
      </c>
      <c r="T11" s="29"/>
      <c r="U11" s="285">
        <f>+ROUND(R11*Inflation_Rate,0)</f>
        <v>634</v>
      </c>
    </row>
    <row r="12" spans="1:25" ht="13.8" x14ac:dyDescent="0.25">
      <c r="A12" s="257" t="s">
        <v>281</v>
      </c>
      <c r="B12" s="83" t="s">
        <v>298</v>
      </c>
      <c r="F12" s="258">
        <v>95.99</v>
      </c>
      <c r="R12" s="268">
        <f t="shared" ref="R12:R44" si="7">SUM(F12:Q12)</f>
        <v>95.99</v>
      </c>
      <c r="S12" s="283" t="s">
        <v>303</v>
      </c>
    </row>
    <row r="13" spans="1:25" ht="13.8" x14ac:dyDescent="0.25">
      <c r="A13" s="257" t="s">
        <v>281</v>
      </c>
      <c r="B13" s="83" t="s">
        <v>287</v>
      </c>
      <c r="Q13" s="210">
        <v>250</v>
      </c>
      <c r="R13" s="268">
        <f t="shared" si="7"/>
        <v>250</v>
      </c>
      <c r="S13" s="243"/>
    </row>
    <row r="14" spans="1:25" ht="13.8" x14ac:dyDescent="0.25">
      <c r="A14" s="257" t="s">
        <v>281</v>
      </c>
      <c r="B14" s="83" t="s">
        <v>324</v>
      </c>
      <c r="L14" s="211">
        <v>2.5</v>
      </c>
      <c r="R14" s="268">
        <f t="shared" si="7"/>
        <v>2.5</v>
      </c>
      <c r="S14" s="243"/>
    </row>
    <row r="15" spans="1:25" ht="13.8" x14ac:dyDescent="0.25">
      <c r="A15" s="296" t="s">
        <v>371</v>
      </c>
      <c r="B15" s="83" t="s">
        <v>317</v>
      </c>
      <c r="L15" s="287">
        <f>((SUM(F12:L14)*0.166)*-1)-SUM(F15:K15)</f>
        <v>-16.349340000000002</v>
      </c>
      <c r="Q15" s="210">
        <f>(SUM(R12:R13)*0.166*-1)-SUM(F15:P15)</f>
        <v>-41.085000000000008</v>
      </c>
      <c r="R15" s="268">
        <f t="shared" si="7"/>
        <v>-57.434340000000006</v>
      </c>
      <c r="S15" s="243"/>
    </row>
    <row r="16" spans="1:25" ht="13.8" x14ac:dyDescent="0.25">
      <c r="A16" s="29"/>
      <c r="B16" s="230" t="s">
        <v>328</v>
      </c>
      <c r="C16" s="319">
        <f>+'BudgerandActual Spend 24-25'!I9</f>
        <v>400</v>
      </c>
      <c r="D16" s="319">
        <f>+'Spend Jan-Mar25'!H20</f>
        <v>0</v>
      </c>
      <c r="E16" s="319">
        <f>+D16+C16</f>
        <v>400</v>
      </c>
      <c r="F16" s="231">
        <f>SUM(F12:F13)</f>
        <v>95.99</v>
      </c>
      <c r="G16" s="231">
        <f>SUM(G12:G13)</f>
        <v>0</v>
      </c>
      <c r="H16" s="231">
        <f>SUM(H12:H13)</f>
        <v>0</v>
      </c>
      <c r="I16" s="231">
        <f>SUM(I12:I13)</f>
        <v>0</v>
      </c>
      <c r="J16" s="231">
        <f>SUM(J12:J13)</f>
        <v>0</v>
      </c>
      <c r="K16" s="231">
        <f t="shared" ref="K16:Q16" si="8">SUM(K12:K15)</f>
        <v>0</v>
      </c>
      <c r="L16" s="231">
        <f t="shared" si="8"/>
        <v>-13.849340000000002</v>
      </c>
      <c r="M16" s="231">
        <f t="shared" si="8"/>
        <v>0</v>
      </c>
      <c r="N16" s="247">
        <f t="shared" si="8"/>
        <v>0</v>
      </c>
      <c r="O16" s="247">
        <f t="shared" si="8"/>
        <v>0</v>
      </c>
      <c r="P16" s="247">
        <f t="shared" si="8"/>
        <v>0</v>
      </c>
      <c r="Q16" s="247">
        <f t="shared" si="8"/>
        <v>208.91499999999999</v>
      </c>
      <c r="R16" s="314">
        <f t="shared" si="7"/>
        <v>291.05565999999999</v>
      </c>
      <c r="S16" s="308">
        <f>+E16-R16</f>
        <v>108.94434000000001</v>
      </c>
      <c r="T16" s="29"/>
      <c r="U16" s="285">
        <f>+ROUND(R16*Inflation_Rate,0)</f>
        <v>303</v>
      </c>
    </row>
    <row r="17" spans="1:21" ht="13.8" x14ac:dyDescent="0.25">
      <c r="A17" s="257" t="s">
        <v>281</v>
      </c>
      <c r="B17" s="83" t="s">
        <v>289</v>
      </c>
      <c r="G17" s="211">
        <v>6</v>
      </c>
      <c r="H17" s="211">
        <v>6</v>
      </c>
      <c r="I17" s="211">
        <v>6</v>
      </c>
      <c r="J17" s="211">
        <v>6</v>
      </c>
      <c r="K17" s="211">
        <v>6</v>
      </c>
      <c r="L17" s="211">
        <v>6</v>
      </c>
      <c r="M17" s="210">
        <v>6</v>
      </c>
      <c r="N17" s="210">
        <v>6</v>
      </c>
      <c r="O17" s="210">
        <v>6</v>
      </c>
      <c r="P17" s="210">
        <v>6</v>
      </c>
      <c r="Q17" s="210">
        <v>6</v>
      </c>
      <c r="R17" s="268">
        <f t="shared" si="7"/>
        <v>66</v>
      </c>
      <c r="S17" s="243"/>
      <c r="T17" s="15"/>
    </row>
    <row r="18" spans="1:21" ht="13.8" x14ac:dyDescent="0.25">
      <c r="A18" s="257" t="s">
        <v>281</v>
      </c>
      <c r="B18" s="83" t="s">
        <v>288</v>
      </c>
      <c r="Q18" s="210">
        <v>600</v>
      </c>
      <c r="R18" s="268">
        <f t="shared" si="7"/>
        <v>600</v>
      </c>
      <c r="S18" s="243"/>
      <c r="U18" s="15"/>
    </row>
    <row r="19" spans="1:21" ht="13.8" x14ac:dyDescent="0.25">
      <c r="A19" s="296" t="s">
        <v>371</v>
      </c>
      <c r="B19" s="83" t="s">
        <v>317</v>
      </c>
      <c r="L19" s="287">
        <f>((SUM(F17:L18)*0.166)*-1)-SUM(F19:K19)</f>
        <v>-5.976</v>
      </c>
      <c r="Q19" s="210">
        <f>((SUM(R17:R18)*0.166)*-1)-SUM(F19:P19)</f>
        <v>-104.58000000000001</v>
      </c>
      <c r="R19" s="268">
        <f t="shared" si="7"/>
        <v>-110.55600000000001</v>
      </c>
      <c r="S19" s="243"/>
      <c r="T19" s="15"/>
    </row>
    <row r="20" spans="1:21" ht="13.8" x14ac:dyDescent="0.25">
      <c r="A20" s="29"/>
      <c r="B20" s="230" t="s">
        <v>329</v>
      </c>
      <c r="C20" s="318">
        <f>+'BudgerandActual Spend 24-25'!I10</f>
        <v>200</v>
      </c>
      <c r="D20" s="318">
        <f>+'Spend Jan-Mar25'!H23</f>
        <v>600</v>
      </c>
      <c r="E20" s="318">
        <f>+D20+C20</f>
        <v>800</v>
      </c>
      <c r="F20" s="231">
        <f t="shared" ref="F20:Q20" si="9">SUM(F17:F18)</f>
        <v>0</v>
      </c>
      <c r="G20" s="231">
        <f t="shared" si="9"/>
        <v>6</v>
      </c>
      <c r="H20" s="231">
        <f t="shared" si="9"/>
        <v>6</v>
      </c>
      <c r="I20" s="231">
        <f t="shared" si="9"/>
        <v>6</v>
      </c>
      <c r="J20" s="231">
        <f t="shared" si="9"/>
        <v>6</v>
      </c>
      <c r="K20" s="231">
        <f t="shared" si="9"/>
        <v>6</v>
      </c>
      <c r="L20" s="231">
        <f t="shared" si="9"/>
        <v>6</v>
      </c>
      <c r="M20" s="247">
        <f t="shared" si="9"/>
        <v>6</v>
      </c>
      <c r="N20" s="247">
        <f t="shared" si="9"/>
        <v>6</v>
      </c>
      <c r="O20" s="247">
        <f t="shared" si="9"/>
        <v>6</v>
      </c>
      <c r="P20" s="247">
        <f t="shared" si="9"/>
        <v>6</v>
      </c>
      <c r="Q20" s="247">
        <f t="shared" si="9"/>
        <v>606</v>
      </c>
      <c r="R20" s="314">
        <f t="shared" si="7"/>
        <v>666</v>
      </c>
      <c r="S20" s="308">
        <f>+E20-R20</f>
        <v>134</v>
      </c>
      <c r="T20" s="29"/>
      <c r="U20" s="285">
        <f>+ROUND(R20*Inflation_Rate,0)</f>
        <v>693</v>
      </c>
    </row>
    <row r="21" spans="1:21" ht="13.8" x14ac:dyDescent="0.25">
      <c r="A21" s="259" t="s">
        <v>281</v>
      </c>
      <c r="B21" s="83" t="s">
        <v>279</v>
      </c>
      <c r="H21" s="211">
        <v>47</v>
      </c>
      <c r="R21" s="268">
        <f t="shared" si="7"/>
        <v>47</v>
      </c>
      <c r="S21" s="243"/>
    </row>
    <row r="22" spans="1:21" ht="13.8" x14ac:dyDescent="0.25">
      <c r="A22" s="260" t="s">
        <v>281</v>
      </c>
      <c r="B22" s="83" t="s">
        <v>136</v>
      </c>
      <c r="R22" s="268">
        <f>SUM(F22:Q22)</f>
        <v>0</v>
      </c>
      <c r="S22" s="243"/>
      <c r="T22" s="15"/>
    </row>
    <row r="23" spans="1:21" ht="13.8" x14ac:dyDescent="0.25">
      <c r="A23" s="260" t="s">
        <v>281</v>
      </c>
      <c r="B23" s="83" t="s">
        <v>278</v>
      </c>
      <c r="P23" s="210">
        <v>50</v>
      </c>
      <c r="R23" s="268">
        <f t="shared" si="7"/>
        <v>50</v>
      </c>
      <c r="S23" s="243"/>
    </row>
    <row r="24" spans="1:21" ht="13.8" x14ac:dyDescent="0.25">
      <c r="A24" s="260" t="s">
        <v>281</v>
      </c>
      <c r="B24" s="83" t="s">
        <v>280</v>
      </c>
      <c r="P24" s="210">
        <v>50</v>
      </c>
      <c r="R24" s="268">
        <f t="shared" si="7"/>
        <v>50</v>
      </c>
      <c r="S24" s="243"/>
    </row>
    <row r="25" spans="1:21" ht="13.8" x14ac:dyDescent="0.25">
      <c r="A25" s="29"/>
      <c r="B25" s="230" t="s">
        <v>330</v>
      </c>
      <c r="C25" s="318">
        <f>582+160</f>
        <v>742</v>
      </c>
      <c r="D25" s="318">
        <f>+'Spend Jan-Mar25'!H26</f>
        <v>-190</v>
      </c>
      <c r="E25" s="318">
        <f>+D25+C25</f>
        <v>552</v>
      </c>
      <c r="F25" s="231">
        <f t="shared" ref="F25:Q25" si="10">SUM(F21:F24)</f>
        <v>0</v>
      </c>
      <c r="G25" s="231">
        <f t="shared" si="10"/>
        <v>0</v>
      </c>
      <c r="H25" s="231">
        <f t="shared" si="10"/>
        <v>47</v>
      </c>
      <c r="I25" s="231">
        <f t="shared" si="10"/>
        <v>0</v>
      </c>
      <c r="J25" s="231">
        <f t="shared" si="10"/>
        <v>0</v>
      </c>
      <c r="K25" s="231">
        <f t="shared" si="10"/>
        <v>0</v>
      </c>
      <c r="L25" s="231">
        <f t="shared" si="10"/>
        <v>0</v>
      </c>
      <c r="M25" s="231">
        <f t="shared" si="10"/>
        <v>0</v>
      </c>
      <c r="N25" s="247">
        <f t="shared" si="10"/>
        <v>0</v>
      </c>
      <c r="O25" s="247">
        <f t="shared" si="10"/>
        <v>0</v>
      </c>
      <c r="P25" s="247">
        <f t="shared" si="10"/>
        <v>100</v>
      </c>
      <c r="Q25" s="247">
        <f t="shared" si="10"/>
        <v>0</v>
      </c>
      <c r="R25" s="314">
        <f t="shared" si="7"/>
        <v>147</v>
      </c>
      <c r="S25" s="308">
        <f>+E25-R25</f>
        <v>405</v>
      </c>
      <c r="T25" s="29"/>
      <c r="U25" s="292">
        <f>+ROUND(R25*Inflation_Rate,0)+168</f>
        <v>321</v>
      </c>
    </row>
    <row r="26" spans="1:21" ht="13.8" x14ac:dyDescent="0.25">
      <c r="A26" s="260" t="s">
        <v>281</v>
      </c>
      <c r="B26" s="83" t="s">
        <v>149</v>
      </c>
      <c r="N26" s="210">
        <v>500</v>
      </c>
      <c r="R26" s="268">
        <f t="shared" si="7"/>
        <v>500</v>
      </c>
      <c r="S26" s="243"/>
    </row>
    <row r="27" spans="1:21" ht="13.8" x14ac:dyDescent="0.25">
      <c r="A27" s="29"/>
      <c r="B27" s="230" t="s">
        <v>331</v>
      </c>
      <c r="C27" s="318">
        <f>+'BudgerandActual Spend 24-25'!I13</f>
        <v>0</v>
      </c>
      <c r="D27" s="318">
        <f>+'Spend Jan-Mar25'!H32</f>
        <v>0</v>
      </c>
      <c r="E27" s="318">
        <f>+D27+C27</f>
        <v>0</v>
      </c>
      <c r="F27" s="231">
        <f t="shared" ref="F27:Q27" si="11">SUM(F26:F26)</f>
        <v>0</v>
      </c>
      <c r="G27" s="231">
        <f t="shared" si="11"/>
        <v>0</v>
      </c>
      <c r="H27" s="231">
        <f t="shared" si="11"/>
        <v>0</v>
      </c>
      <c r="I27" s="231">
        <f t="shared" si="11"/>
        <v>0</v>
      </c>
      <c r="J27" s="231">
        <f t="shared" si="11"/>
        <v>0</v>
      </c>
      <c r="K27" s="231">
        <f t="shared" si="11"/>
        <v>0</v>
      </c>
      <c r="L27" s="231">
        <f t="shared" si="11"/>
        <v>0</v>
      </c>
      <c r="M27" s="231">
        <f t="shared" si="11"/>
        <v>0</v>
      </c>
      <c r="N27" s="247">
        <f t="shared" si="11"/>
        <v>500</v>
      </c>
      <c r="O27" s="247">
        <f t="shared" si="11"/>
        <v>0</v>
      </c>
      <c r="P27" s="247">
        <f t="shared" si="11"/>
        <v>0</v>
      </c>
      <c r="Q27" s="247">
        <f t="shared" si="11"/>
        <v>0</v>
      </c>
      <c r="R27" s="314">
        <f t="shared" si="7"/>
        <v>500</v>
      </c>
      <c r="S27" s="308">
        <f>+E27-R27</f>
        <v>-500</v>
      </c>
      <c r="T27" s="29"/>
      <c r="U27" s="292">
        <f>+ROUND(R27*Inflation_Rate,0)</f>
        <v>520</v>
      </c>
    </row>
    <row r="28" spans="1:21" ht="13.8" x14ac:dyDescent="0.25">
      <c r="A28" s="259" t="s">
        <v>281</v>
      </c>
      <c r="B28" s="83" t="s">
        <v>144</v>
      </c>
      <c r="G28" s="211">
        <v>819.95</v>
      </c>
      <c r="R28" s="268">
        <f t="shared" si="7"/>
        <v>819.95</v>
      </c>
      <c r="S28" s="243"/>
    </row>
    <row r="29" spans="1:21" ht="13.8" x14ac:dyDescent="0.25">
      <c r="A29" s="29"/>
      <c r="B29" s="230" t="s">
        <v>332</v>
      </c>
      <c r="C29" s="318">
        <f>+'BudgerandActual Spend 24-25'!I14</f>
        <v>997</v>
      </c>
      <c r="D29" s="318">
        <f>+'Spend Jan-Mar25'!H35</f>
        <v>0</v>
      </c>
      <c r="E29" s="318">
        <f>+D29+C29</f>
        <v>997</v>
      </c>
      <c r="F29" s="231">
        <f t="shared" ref="F29:Q29" si="12">SUM(F28:F28)</f>
        <v>0</v>
      </c>
      <c r="G29" s="231">
        <f t="shared" si="12"/>
        <v>819.95</v>
      </c>
      <c r="H29" s="231">
        <f t="shared" si="12"/>
        <v>0</v>
      </c>
      <c r="I29" s="231">
        <f t="shared" si="12"/>
        <v>0</v>
      </c>
      <c r="J29" s="231">
        <f t="shared" si="12"/>
        <v>0</v>
      </c>
      <c r="K29" s="231">
        <f t="shared" si="12"/>
        <v>0</v>
      </c>
      <c r="L29" s="231">
        <f t="shared" si="12"/>
        <v>0</v>
      </c>
      <c r="M29" s="231">
        <f t="shared" si="12"/>
        <v>0</v>
      </c>
      <c r="N29" s="247">
        <f t="shared" si="12"/>
        <v>0</v>
      </c>
      <c r="O29" s="247">
        <f t="shared" si="12"/>
        <v>0</v>
      </c>
      <c r="P29" s="247">
        <f t="shared" si="12"/>
        <v>0</v>
      </c>
      <c r="Q29" s="247">
        <f t="shared" si="12"/>
        <v>0</v>
      </c>
      <c r="R29" s="314">
        <f t="shared" si="7"/>
        <v>819.95</v>
      </c>
      <c r="S29" s="308">
        <f>+E29-R29</f>
        <v>177.04999999999995</v>
      </c>
      <c r="T29" s="29"/>
      <c r="U29" s="285">
        <f>+ROUND(R29*Inflation_Rate,0)</f>
        <v>853</v>
      </c>
    </row>
    <row r="30" spans="1:21" ht="13.8" x14ac:dyDescent="0.25">
      <c r="A30" s="257" t="s">
        <v>281</v>
      </c>
      <c r="B30" s="83" t="s">
        <v>12</v>
      </c>
      <c r="I30" s="211">
        <v>90</v>
      </c>
      <c r="J30" s="211">
        <v>30</v>
      </c>
      <c r="K30" s="211">
        <v>30</v>
      </c>
      <c r="L30" s="211">
        <v>30</v>
      </c>
      <c r="M30" s="210">
        <v>30</v>
      </c>
      <c r="N30" s="210">
        <v>30</v>
      </c>
      <c r="O30" s="210">
        <v>30</v>
      </c>
      <c r="P30" s="210">
        <v>30</v>
      </c>
      <c r="Q30" s="210">
        <v>30</v>
      </c>
      <c r="R30" s="268">
        <f t="shared" si="7"/>
        <v>330</v>
      </c>
    </row>
    <row r="31" spans="1:21" ht="13.8" x14ac:dyDescent="0.25">
      <c r="A31" s="296" t="s">
        <v>371</v>
      </c>
      <c r="B31" s="83" t="s">
        <v>317</v>
      </c>
      <c r="L31" s="287">
        <f>((SUM(F30:L30)*0.166)*-1)-SUM(F31:K31)</f>
        <v>-29.880000000000003</v>
      </c>
      <c r="Q31" s="210">
        <f>((SUM(R30)*0.166)*-1)-SUM(F31:P31)</f>
        <v>-24.9</v>
      </c>
      <c r="R31" s="268">
        <f t="shared" si="7"/>
        <v>-54.78</v>
      </c>
    </row>
    <row r="32" spans="1:21" ht="13.8" x14ac:dyDescent="0.25">
      <c r="A32" s="29"/>
      <c r="B32" s="230" t="s">
        <v>333</v>
      </c>
      <c r="C32" s="318">
        <f>+'BudgerandActual Spend 24-25'!I15</f>
        <v>260</v>
      </c>
      <c r="D32" s="318">
        <f>+'Spend Jan-Mar25'!H38</f>
        <v>0</v>
      </c>
      <c r="E32" s="318">
        <f>+D32+C32</f>
        <v>260</v>
      </c>
      <c r="F32" s="231">
        <f t="shared" ref="F32:Q32" si="13">SUM(F30:F31)</f>
        <v>0</v>
      </c>
      <c r="G32" s="231">
        <f t="shared" si="13"/>
        <v>0</v>
      </c>
      <c r="H32" s="231">
        <f t="shared" si="13"/>
        <v>0</v>
      </c>
      <c r="I32" s="231">
        <f t="shared" si="13"/>
        <v>90</v>
      </c>
      <c r="J32" s="231">
        <f t="shared" si="13"/>
        <v>30</v>
      </c>
      <c r="K32" s="231">
        <f t="shared" si="13"/>
        <v>30</v>
      </c>
      <c r="L32" s="231">
        <f t="shared" si="13"/>
        <v>0.11999999999999744</v>
      </c>
      <c r="M32" s="303">
        <f t="shared" si="13"/>
        <v>30</v>
      </c>
      <c r="N32" s="247">
        <f t="shared" si="13"/>
        <v>30</v>
      </c>
      <c r="O32" s="247">
        <f t="shared" si="13"/>
        <v>30</v>
      </c>
      <c r="P32" s="247">
        <f t="shared" si="13"/>
        <v>30</v>
      </c>
      <c r="Q32" s="247">
        <f t="shared" si="13"/>
        <v>5.1000000000000014</v>
      </c>
      <c r="R32" s="314">
        <f t="shared" si="7"/>
        <v>275.22000000000003</v>
      </c>
      <c r="S32" s="308">
        <f>+E32-R32</f>
        <v>-15.220000000000027</v>
      </c>
      <c r="T32" s="29"/>
      <c r="U32" s="285">
        <f>+ROUND(R32*Inflation_Rate,0)</f>
        <v>286</v>
      </c>
    </row>
    <row r="33" spans="1:22" ht="13.8" x14ac:dyDescent="0.25">
      <c r="A33" s="259" t="s">
        <v>281</v>
      </c>
      <c r="B33" s="83" t="s">
        <v>249</v>
      </c>
      <c r="G33" s="211">
        <v>103</v>
      </c>
      <c r="R33" s="268">
        <f t="shared" si="7"/>
        <v>103</v>
      </c>
      <c r="S33" s="243"/>
    </row>
    <row r="34" spans="1:22" ht="13.8" x14ac:dyDescent="0.25">
      <c r="A34" s="29"/>
      <c r="B34" s="230" t="s">
        <v>334</v>
      </c>
      <c r="C34" s="318">
        <f>+'BudgerandActual Spend 24-25'!I16</f>
        <v>124</v>
      </c>
      <c r="D34" s="318">
        <f>+'Spend Jan-Mar25'!H41</f>
        <v>0</v>
      </c>
      <c r="E34" s="318">
        <f>+D34+C34</f>
        <v>124</v>
      </c>
      <c r="F34" s="231">
        <f t="shared" ref="F34:Q34" si="14">SUM(F33:F33)</f>
        <v>0</v>
      </c>
      <c r="G34" s="231">
        <f t="shared" si="14"/>
        <v>103</v>
      </c>
      <c r="H34" s="231">
        <f t="shared" si="14"/>
        <v>0</v>
      </c>
      <c r="I34" s="231">
        <f t="shared" si="14"/>
        <v>0</v>
      </c>
      <c r="J34" s="231">
        <f t="shared" si="14"/>
        <v>0</v>
      </c>
      <c r="K34" s="231">
        <f t="shared" si="14"/>
        <v>0</v>
      </c>
      <c r="L34" s="231">
        <f t="shared" si="14"/>
        <v>0</v>
      </c>
      <c r="M34" s="231">
        <f t="shared" si="14"/>
        <v>0</v>
      </c>
      <c r="N34" s="247">
        <f t="shared" si="14"/>
        <v>0</v>
      </c>
      <c r="O34" s="247">
        <f t="shared" si="14"/>
        <v>0</v>
      </c>
      <c r="P34" s="247">
        <f t="shared" si="14"/>
        <v>0</v>
      </c>
      <c r="Q34" s="247">
        <f t="shared" si="14"/>
        <v>0</v>
      </c>
      <c r="R34" s="314">
        <f t="shared" si="7"/>
        <v>103</v>
      </c>
      <c r="S34" s="308">
        <f>+E34-R34</f>
        <v>21</v>
      </c>
      <c r="T34" s="29"/>
      <c r="U34" s="285">
        <f>+ROUND(R34*Inflation_Rate,0)</f>
        <v>107</v>
      </c>
    </row>
    <row r="35" spans="1:22" ht="13.8" x14ac:dyDescent="0.25">
      <c r="A35" s="257" t="s">
        <v>281</v>
      </c>
      <c r="B35" s="83" t="s">
        <v>305</v>
      </c>
      <c r="J35" s="211">
        <v>378</v>
      </c>
      <c r="R35" s="268">
        <f t="shared" si="7"/>
        <v>378</v>
      </c>
      <c r="S35" s="243"/>
    </row>
    <row r="36" spans="1:22" ht="13.8" x14ac:dyDescent="0.25">
      <c r="A36" s="296" t="s">
        <v>371</v>
      </c>
      <c r="B36" s="83" t="s">
        <v>381</v>
      </c>
      <c r="L36" s="258"/>
      <c r="R36" s="268">
        <f t="shared" si="7"/>
        <v>0</v>
      </c>
      <c r="S36" s="243"/>
    </row>
    <row r="37" spans="1:22" ht="13.8" x14ac:dyDescent="0.25">
      <c r="A37" s="29"/>
      <c r="B37" s="230" t="s">
        <v>335</v>
      </c>
      <c r="C37" s="318">
        <f>+'BudgerandActual Spend 24-25'!I17</f>
        <v>450</v>
      </c>
      <c r="D37" s="318">
        <f>+'Spend Jan-Mar25'!H44</f>
        <v>0</v>
      </c>
      <c r="E37" s="318">
        <f>+D37+C37</f>
        <v>450</v>
      </c>
      <c r="F37" s="231">
        <f>SUM(F35:F36)</f>
        <v>0</v>
      </c>
      <c r="G37" s="231">
        <f t="shared" ref="G37:Q37" si="15">SUM(G35:G36)</f>
        <v>0</v>
      </c>
      <c r="H37" s="231">
        <f t="shared" si="15"/>
        <v>0</v>
      </c>
      <c r="I37" s="231">
        <f t="shared" si="15"/>
        <v>0</v>
      </c>
      <c r="J37" s="231">
        <f t="shared" si="15"/>
        <v>378</v>
      </c>
      <c r="K37" s="231">
        <f t="shared" si="15"/>
        <v>0</v>
      </c>
      <c r="L37" s="231">
        <f t="shared" si="15"/>
        <v>0</v>
      </c>
      <c r="M37" s="231">
        <f t="shared" si="15"/>
        <v>0</v>
      </c>
      <c r="N37" s="247">
        <f t="shared" si="15"/>
        <v>0</v>
      </c>
      <c r="O37" s="247">
        <f t="shared" si="15"/>
        <v>0</v>
      </c>
      <c r="P37" s="247">
        <f t="shared" si="15"/>
        <v>0</v>
      </c>
      <c r="Q37" s="247">
        <f t="shared" si="15"/>
        <v>0</v>
      </c>
      <c r="R37" s="314">
        <f>SUM(R35:R36)</f>
        <v>378</v>
      </c>
      <c r="S37" s="308">
        <f>+E37-R37</f>
        <v>72</v>
      </c>
      <c r="T37" s="29"/>
      <c r="U37" s="285">
        <f>+ROUND(R37*Inflation_Rate,0)</f>
        <v>393</v>
      </c>
    </row>
    <row r="38" spans="1:22" ht="13.8" x14ac:dyDescent="0.25">
      <c r="B38" s="83" t="s">
        <v>319</v>
      </c>
      <c r="R38" s="268">
        <f t="shared" ref="R38:R39" si="16">SUM(F38:Q38)</f>
        <v>0</v>
      </c>
      <c r="S38" s="243"/>
    </row>
    <row r="39" spans="1:22" ht="13.8" x14ac:dyDescent="0.25">
      <c r="A39" s="29"/>
      <c r="B39" s="230" t="s">
        <v>336</v>
      </c>
      <c r="C39" s="320">
        <v>0</v>
      </c>
      <c r="D39" s="321">
        <f>+'Spend Jan-Mar25'!H57</f>
        <v>0</v>
      </c>
      <c r="E39" s="318">
        <f>+D39+C39</f>
        <v>0</v>
      </c>
      <c r="F39" s="231">
        <f t="shared" ref="F39:Q39" si="17">SUM(F38:F38)</f>
        <v>0</v>
      </c>
      <c r="G39" s="231">
        <f t="shared" si="17"/>
        <v>0</v>
      </c>
      <c r="H39" s="231">
        <f t="shared" si="17"/>
        <v>0</v>
      </c>
      <c r="I39" s="231">
        <f t="shared" si="17"/>
        <v>0</v>
      </c>
      <c r="J39" s="231">
        <f t="shared" si="17"/>
        <v>0</v>
      </c>
      <c r="K39" s="231">
        <f t="shared" si="17"/>
        <v>0</v>
      </c>
      <c r="L39" s="231">
        <f t="shared" si="17"/>
        <v>0</v>
      </c>
      <c r="M39" s="231">
        <f t="shared" si="17"/>
        <v>0</v>
      </c>
      <c r="N39" s="247">
        <f t="shared" si="17"/>
        <v>0</v>
      </c>
      <c r="O39" s="247">
        <f t="shared" si="17"/>
        <v>0</v>
      </c>
      <c r="P39" s="247">
        <f t="shared" si="17"/>
        <v>0</v>
      </c>
      <c r="Q39" s="247">
        <f t="shared" si="17"/>
        <v>0</v>
      </c>
      <c r="R39" s="314">
        <f t="shared" si="16"/>
        <v>0</v>
      </c>
      <c r="S39" s="308">
        <f>+E39-R39</f>
        <v>0</v>
      </c>
      <c r="T39" s="29"/>
      <c r="U39" s="273">
        <v>3000</v>
      </c>
    </row>
    <row r="40" spans="1:22" ht="13.8" x14ac:dyDescent="0.25">
      <c r="B40" s="83" t="s">
        <v>139</v>
      </c>
      <c r="R40" s="268">
        <f t="shared" si="7"/>
        <v>0</v>
      </c>
      <c r="S40" s="243"/>
    </row>
    <row r="41" spans="1:22" ht="13.8" x14ac:dyDescent="0.25">
      <c r="A41" s="29"/>
      <c r="B41" s="230" t="s">
        <v>337</v>
      </c>
      <c r="C41" s="320">
        <f>+'BudgerandActual Spend 24-25'!I22</f>
        <v>250</v>
      </c>
      <c r="D41" s="321">
        <f>+'Spend Jan-Mar25'!H59</f>
        <v>0</v>
      </c>
      <c r="E41" s="318">
        <f>+D41+C41</f>
        <v>250</v>
      </c>
      <c r="F41" s="231">
        <f t="shared" ref="F41:Q41" si="18">SUM(F40:F40)</f>
        <v>0</v>
      </c>
      <c r="G41" s="231">
        <f t="shared" si="18"/>
        <v>0</v>
      </c>
      <c r="H41" s="231">
        <f t="shared" si="18"/>
        <v>0</v>
      </c>
      <c r="I41" s="231">
        <f t="shared" si="18"/>
        <v>0</v>
      </c>
      <c r="J41" s="231">
        <f t="shared" si="18"/>
        <v>0</v>
      </c>
      <c r="K41" s="231">
        <f t="shared" si="18"/>
        <v>0</v>
      </c>
      <c r="L41" s="231">
        <f t="shared" si="18"/>
        <v>0</v>
      </c>
      <c r="M41" s="231">
        <f t="shared" si="18"/>
        <v>0</v>
      </c>
      <c r="N41" s="247">
        <f t="shared" si="18"/>
        <v>0</v>
      </c>
      <c r="O41" s="247">
        <f t="shared" si="18"/>
        <v>0</v>
      </c>
      <c r="P41" s="247">
        <f t="shared" si="18"/>
        <v>0</v>
      </c>
      <c r="Q41" s="247">
        <f t="shared" si="18"/>
        <v>0</v>
      </c>
      <c r="R41" s="314">
        <f t="shared" si="7"/>
        <v>0</v>
      </c>
      <c r="S41" s="308">
        <f>+E41-R41</f>
        <v>250</v>
      </c>
      <c r="T41" s="29"/>
      <c r="U41" s="285">
        <f>+ROUND(R41*Inflation_Rate,0)</f>
        <v>0</v>
      </c>
    </row>
    <row r="42" spans="1:22" ht="13.8" x14ac:dyDescent="0.25">
      <c r="A42" s="15" t="s">
        <v>283</v>
      </c>
      <c r="B42" s="83" t="s">
        <v>153</v>
      </c>
      <c r="D42" s="243"/>
      <c r="R42" s="268">
        <f t="shared" si="7"/>
        <v>0</v>
      </c>
      <c r="S42" s="243"/>
    </row>
    <row r="43" spans="1:22" ht="13.8" x14ac:dyDescent="0.25">
      <c r="A43" s="246"/>
      <c r="B43" s="230" t="s">
        <v>338</v>
      </c>
      <c r="C43" s="320">
        <f>+'BudgerandActual Spend 24-25'!I28</f>
        <v>1700</v>
      </c>
      <c r="D43" s="321">
        <f>+'Spend Jan-Mar25'!H77</f>
        <v>0</v>
      </c>
      <c r="E43" s="318">
        <f>+D43+C43</f>
        <v>1700</v>
      </c>
      <c r="F43" s="231">
        <f t="shared" ref="F43:Q43" si="19">SUM(F42:F42)</f>
        <v>0</v>
      </c>
      <c r="G43" s="231">
        <f t="shared" si="19"/>
        <v>0</v>
      </c>
      <c r="H43" s="231">
        <f t="shared" si="19"/>
        <v>0</v>
      </c>
      <c r="I43" s="231">
        <f t="shared" si="19"/>
        <v>0</v>
      </c>
      <c r="J43" s="231">
        <f t="shared" si="19"/>
        <v>0</v>
      </c>
      <c r="K43" s="231">
        <f t="shared" si="19"/>
        <v>0</v>
      </c>
      <c r="L43" s="231">
        <f t="shared" si="19"/>
        <v>0</v>
      </c>
      <c r="M43" s="231">
        <f t="shared" si="19"/>
        <v>0</v>
      </c>
      <c r="N43" s="247">
        <f t="shared" si="19"/>
        <v>0</v>
      </c>
      <c r="O43" s="247">
        <f t="shared" si="19"/>
        <v>0</v>
      </c>
      <c r="P43" s="247">
        <f t="shared" si="19"/>
        <v>0</v>
      </c>
      <c r="Q43" s="247">
        <f t="shared" si="19"/>
        <v>0</v>
      </c>
      <c r="R43" s="314">
        <f t="shared" si="7"/>
        <v>0</v>
      </c>
      <c r="S43" s="308">
        <f>+E43-R43</f>
        <v>1700</v>
      </c>
      <c r="T43" s="29"/>
      <c r="U43" s="292">
        <f>+ROUND(1700,0)*Inflation_Rate</f>
        <v>1768</v>
      </c>
    </row>
    <row r="44" spans="1:22" ht="13.8" x14ac:dyDescent="0.25">
      <c r="A44" s="257" t="s">
        <v>284</v>
      </c>
      <c r="B44" s="83" t="s">
        <v>243</v>
      </c>
      <c r="G44" s="211">
        <v>6805.2</v>
      </c>
      <c r="R44" s="268">
        <f t="shared" si="7"/>
        <v>6805.2</v>
      </c>
      <c r="S44" s="243"/>
      <c r="T44" s="15" t="s">
        <v>302</v>
      </c>
    </row>
    <row r="45" spans="1:22" ht="13.8" x14ac:dyDescent="0.25">
      <c r="A45" s="257" t="s">
        <v>284</v>
      </c>
      <c r="B45" s="83" t="s">
        <v>294</v>
      </c>
      <c r="J45" s="211">
        <v>781.68</v>
      </c>
      <c r="R45" s="268">
        <f t="shared" ref="R45:R47" si="20">SUM(F45:Q45)</f>
        <v>781.68</v>
      </c>
      <c r="S45" s="243"/>
    </row>
    <row r="46" spans="1:22" ht="13.8" x14ac:dyDescent="0.25">
      <c r="A46" s="257" t="s">
        <v>284</v>
      </c>
      <c r="B46" s="83" t="s">
        <v>248</v>
      </c>
      <c r="I46" s="211">
        <v>13968</v>
      </c>
      <c r="R46" s="268">
        <f t="shared" si="20"/>
        <v>13968</v>
      </c>
      <c r="S46" s="243"/>
    </row>
    <row r="47" spans="1:22" ht="13.8" x14ac:dyDescent="0.25">
      <c r="A47" s="296"/>
      <c r="B47" s="83" t="s">
        <v>317</v>
      </c>
      <c r="L47" s="287">
        <f>((SUM(F44:L46)*0.166)*-1)-SUM(F47:K47)</f>
        <v>-3578.1100800000004</v>
      </c>
      <c r="Q47" s="210">
        <f>((SUM(R44:R46)*0.166)*-1)-SUM(F47:P47)</f>
        <v>0</v>
      </c>
      <c r="R47" s="268">
        <f t="shared" si="20"/>
        <v>-3578.1100800000004</v>
      </c>
      <c r="S47" s="243"/>
    </row>
    <row r="48" spans="1:22" ht="13.8" x14ac:dyDescent="0.25">
      <c r="A48" s="246" t="s">
        <v>284</v>
      </c>
      <c r="B48" s="230" t="s">
        <v>339</v>
      </c>
      <c r="C48" s="320">
        <f>+'BudgerandActual Spend 24-25'!I32</f>
        <v>15000</v>
      </c>
      <c r="D48" s="319">
        <f>+'Spend Jan-Mar25'!H90</f>
        <v>500</v>
      </c>
      <c r="E48" s="318">
        <f>+D48+C48</f>
        <v>15500</v>
      </c>
      <c r="F48" s="231">
        <f>SUM(F44:F47)</f>
        <v>0</v>
      </c>
      <c r="G48" s="231">
        <f>SUM(G44:G47)</f>
        <v>6805.2</v>
      </c>
      <c r="H48" s="231">
        <f>SUM(H44:H47)</f>
        <v>0</v>
      </c>
      <c r="I48" s="231">
        <f>SUM(I44:I47)</f>
        <v>13968</v>
      </c>
      <c r="J48" s="231">
        <f>SUM(J44:J47)</f>
        <v>781.68</v>
      </c>
      <c r="K48" s="231">
        <f t="shared" ref="K48:P48" si="21">SUM(K44:K47)</f>
        <v>0</v>
      </c>
      <c r="L48" s="231">
        <f t="shared" si="21"/>
        <v>-3578.1100800000004</v>
      </c>
      <c r="M48" s="231">
        <f t="shared" si="21"/>
        <v>0</v>
      </c>
      <c r="N48" s="247">
        <f t="shared" si="21"/>
        <v>0</v>
      </c>
      <c r="O48" s="247">
        <f t="shared" si="21"/>
        <v>0</v>
      </c>
      <c r="P48" s="247">
        <f t="shared" si="21"/>
        <v>0</v>
      </c>
      <c r="Q48" s="247">
        <f>SUM(Q44:Q47)</f>
        <v>0</v>
      </c>
      <c r="R48" s="314">
        <f>SUM(F48:Q48)</f>
        <v>17976.769919999999</v>
      </c>
      <c r="S48" s="308">
        <f>+E48-R48</f>
        <v>-2476.7699199999988</v>
      </c>
      <c r="T48" s="29"/>
      <c r="U48" s="292">
        <v>2000</v>
      </c>
      <c r="V48" s="15" t="s">
        <v>316</v>
      </c>
    </row>
    <row r="49" spans="1:24" ht="13.8" x14ac:dyDescent="0.25">
      <c r="A49" s="259" t="s">
        <v>281</v>
      </c>
      <c r="B49" s="83" t="s">
        <v>26</v>
      </c>
      <c r="M49" s="211">
        <v>184</v>
      </c>
      <c r="R49" s="268">
        <f t="shared" ref="R49:R50" si="22">SUM(F49:Q49)</f>
        <v>184</v>
      </c>
    </row>
    <row r="50" spans="1:24" ht="13.8" x14ac:dyDescent="0.25">
      <c r="A50" s="259" t="s">
        <v>281</v>
      </c>
      <c r="B50" s="202" t="s">
        <v>247</v>
      </c>
      <c r="C50" s="254"/>
      <c r="D50" s="254"/>
      <c r="E50" s="254"/>
      <c r="F50" s="255"/>
      <c r="G50" s="255"/>
      <c r="H50" s="255"/>
      <c r="I50" s="249">
        <v>25</v>
      </c>
      <c r="J50" s="255"/>
      <c r="K50" s="277"/>
      <c r="R50" s="268">
        <f t="shared" si="22"/>
        <v>25</v>
      </c>
    </row>
    <row r="51" spans="1:24" ht="13.8" x14ac:dyDescent="0.25">
      <c r="A51" s="246" t="s">
        <v>281</v>
      </c>
      <c r="B51" s="230" t="s">
        <v>340</v>
      </c>
      <c r="C51" s="320">
        <f>+'BudgerandActual Spend 24-25'!I36</f>
        <v>260</v>
      </c>
      <c r="D51" s="319">
        <f>+'Spend Jan-Mar25'!H102</f>
        <v>-40</v>
      </c>
      <c r="E51" s="318">
        <f>+D51+C51</f>
        <v>220</v>
      </c>
      <c r="F51" s="231">
        <f t="shared" ref="F51" si="23">SUM(F49:F49)</f>
        <v>0</v>
      </c>
      <c r="G51" s="231">
        <f t="shared" ref="G51:H51" si="24">SUM(G49:G50)</f>
        <v>0</v>
      </c>
      <c r="H51" s="231">
        <f t="shared" si="24"/>
        <v>0</v>
      </c>
      <c r="I51" s="231">
        <f>SUM(I49:I50)</f>
        <v>25</v>
      </c>
      <c r="J51" s="231">
        <f>SUM(J49:J50)</f>
        <v>0</v>
      </c>
      <c r="K51" s="231">
        <f>SUM(K49:K50)</f>
        <v>0</v>
      </c>
      <c r="L51" s="231">
        <f t="shared" ref="L51:Q51" si="25">SUM(L49:L50)</f>
        <v>0</v>
      </c>
      <c r="M51" s="231">
        <f t="shared" si="25"/>
        <v>184</v>
      </c>
      <c r="N51" s="247">
        <f t="shared" si="25"/>
        <v>0</v>
      </c>
      <c r="O51" s="247">
        <f t="shared" si="25"/>
        <v>0</v>
      </c>
      <c r="P51" s="247">
        <f t="shared" si="25"/>
        <v>0</v>
      </c>
      <c r="Q51" s="247">
        <f t="shared" si="25"/>
        <v>0</v>
      </c>
      <c r="R51" s="314">
        <f>SUM(F51:Q51)</f>
        <v>209</v>
      </c>
      <c r="S51" s="232">
        <f>+E51-R51</f>
        <v>11</v>
      </c>
      <c r="T51" s="29"/>
      <c r="U51" s="285">
        <f>+ROUND(R51*Inflation_Rate,0)</f>
        <v>217</v>
      </c>
    </row>
    <row r="52" spans="1:24" ht="12.6" customHeight="1" x14ac:dyDescent="0.25">
      <c r="A52" s="199" t="s">
        <v>358</v>
      </c>
      <c r="B52" s="199"/>
      <c r="C52" s="115">
        <f t="shared" ref="C52:S52" si="26">+C5+C7+C11+C16+C20+C25+C27+C29+C32+C34+C37+C41+C43+C48+C51+C39</f>
        <v>35479.199999999997</v>
      </c>
      <c r="D52" s="115">
        <f t="shared" si="26"/>
        <v>-225.30000000000018</v>
      </c>
      <c r="E52" s="115">
        <f t="shared" si="26"/>
        <v>35253.9</v>
      </c>
      <c r="F52" s="115">
        <f t="shared" si="26"/>
        <v>1473.06</v>
      </c>
      <c r="G52" s="115">
        <f t="shared" si="26"/>
        <v>8562.619999999999</v>
      </c>
      <c r="H52" s="115">
        <f t="shared" si="26"/>
        <v>761.16</v>
      </c>
      <c r="I52" s="115">
        <f t="shared" si="26"/>
        <v>15623.41</v>
      </c>
      <c r="J52" s="115">
        <f t="shared" si="26"/>
        <v>2105.34</v>
      </c>
      <c r="K52" s="115">
        <f t="shared" si="26"/>
        <v>913.58</v>
      </c>
      <c r="L52" s="115">
        <f t="shared" si="26"/>
        <v>-2007.2994200000005</v>
      </c>
      <c r="M52" s="115">
        <f t="shared" si="26"/>
        <v>1004.5</v>
      </c>
      <c r="N52" s="115">
        <f t="shared" si="26"/>
        <v>1445.5</v>
      </c>
      <c r="O52" s="115">
        <f t="shared" si="26"/>
        <v>1580.5</v>
      </c>
      <c r="P52" s="115">
        <f t="shared" si="26"/>
        <v>920.5</v>
      </c>
      <c r="Q52" s="115">
        <f t="shared" si="26"/>
        <v>1759.5149999999999</v>
      </c>
      <c r="R52" s="200">
        <f t="shared" si="26"/>
        <v>34142.385579999995</v>
      </c>
      <c r="S52" s="115">
        <f t="shared" si="26"/>
        <v>1111.5144200000059</v>
      </c>
      <c r="T52" s="115"/>
      <c r="U52" s="200">
        <f>SUM(U5:U51)</f>
        <v>23749</v>
      </c>
    </row>
    <row r="53" spans="1:24" ht="12.6" customHeight="1" x14ac:dyDescent="0.25"/>
    <row r="54" spans="1:24" ht="27.6" customHeight="1" x14ac:dyDescent="0.25">
      <c r="A54" s="407" t="s">
        <v>341</v>
      </c>
      <c r="B54" s="407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</row>
    <row r="55" spans="1:24" ht="13.8" x14ac:dyDescent="0.25">
      <c r="A55" s="257" t="s">
        <v>282</v>
      </c>
      <c r="B55" s="83" t="s">
        <v>292</v>
      </c>
      <c r="J55" s="211">
        <v>980.4</v>
      </c>
      <c r="R55" s="268">
        <f t="shared" ref="R55:R71" si="27">SUM(F55:Q55)</f>
        <v>980.4</v>
      </c>
      <c r="X55" s="6">
        <v>5166.8900000000003</v>
      </c>
    </row>
    <row r="56" spans="1:24" ht="13.8" x14ac:dyDescent="0.25">
      <c r="A56" s="296"/>
      <c r="B56" s="83" t="s">
        <v>317</v>
      </c>
      <c r="L56" s="287">
        <f>((SUM(F55:L55)*0.166)*-1)-SUM(F56:K56)</f>
        <v>-162.74639999999999</v>
      </c>
      <c r="Q56" s="210">
        <f>((SUM(R55)*0.166)*-1)-SUM(F56:P56)</f>
        <v>0</v>
      </c>
      <c r="R56" s="268">
        <f t="shared" si="27"/>
        <v>-162.74639999999999</v>
      </c>
    </row>
    <row r="57" spans="1:24" ht="13.8" x14ac:dyDescent="0.25">
      <c r="A57" s="246"/>
      <c r="B57" s="230" t="s">
        <v>342</v>
      </c>
      <c r="C57" s="320">
        <f>+'BudgerandActual Spend 24-25'!I23</f>
        <v>833</v>
      </c>
      <c r="D57" s="319">
        <f>+'Spend Jan-Mar25'!H62</f>
        <v>800</v>
      </c>
      <c r="E57" s="318">
        <f>+D57+C57</f>
        <v>1633</v>
      </c>
      <c r="F57" s="231">
        <f t="shared" ref="F57" si="28">SUM(F55:F56)</f>
        <v>0</v>
      </c>
      <c r="G57" s="231">
        <f t="shared" ref="G57" si="29">SUM(G55:G56)</f>
        <v>0</v>
      </c>
      <c r="H57" s="231">
        <f t="shared" ref="H57" si="30">SUM(H55:H56)</f>
        <v>0</v>
      </c>
      <c r="I57" s="231">
        <f t="shared" ref="I57" si="31">SUM(I55:I56)</f>
        <v>0</v>
      </c>
      <c r="J57" s="231">
        <f t="shared" ref="J57" si="32">SUM(J55:J56)</f>
        <v>980.4</v>
      </c>
      <c r="K57" s="231">
        <f t="shared" ref="K57:P57" si="33">SUM(K55:K56)</f>
        <v>0</v>
      </c>
      <c r="L57" s="231">
        <f t="shared" si="33"/>
        <v>-162.74639999999999</v>
      </c>
      <c r="M57" s="231">
        <f t="shared" si="33"/>
        <v>0</v>
      </c>
      <c r="N57" s="247">
        <f t="shared" si="33"/>
        <v>0</v>
      </c>
      <c r="O57" s="247">
        <f t="shared" si="33"/>
        <v>0</v>
      </c>
      <c r="P57" s="247">
        <f t="shared" si="33"/>
        <v>0</v>
      </c>
      <c r="Q57" s="247">
        <f>SUM(Q55:Q56)</f>
        <v>0</v>
      </c>
      <c r="R57" s="314">
        <f t="shared" si="27"/>
        <v>817.65359999999998</v>
      </c>
      <c r="S57" s="308">
        <f>+E57-R57</f>
        <v>815.34640000000002</v>
      </c>
      <c r="T57" s="29"/>
      <c r="U57" s="285">
        <f>+ROUND(R57*Inflation_Rate,0)</f>
        <v>850</v>
      </c>
    </row>
    <row r="58" spans="1:24" ht="13.8" x14ac:dyDescent="0.25">
      <c r="A58" s="259" t="s">
        <v>282</v>
      </c>
      <c r="B58" s="83" t="s">
        <v>7</v>
      </c>
      <c r="N58" s="210">
        <v>250</v>
      </c>
      <c r="R58" s="268">
        <f t="shared" si="27"/>
        <v>250</v>
      </c>
      <c r="S58" s="243"/>
      <c r="T58" t="s">
        <v>293</v>
      </c>
    </row>
    <row r="59" spans="1:24" ht="13.8" x14ac:dyDescent="0.25">
      <c r="A59" s="246"/>
      <c r="B59" s="230" t="s">
        <v>343</v>
      </c>
      <c r="C59" s="320">
        <f>+'BudgerandActual Spend 24-25'!I24</f>
        <v>250</v>
      </c>
      <c r="D59" s="319">
        <f>+'Spend Jan-Mar25'!H65</f>
        <v>0</v>
      </c>
      <c r="E59" s="318">
        <f>+D59+C59</f>
        <v>250</v>
      </c>
      <c r="F59" s="231">
        <f t="shared" ref="F59:Q59" si="34">SUM(F58:F58)</f>
        <v>0</v>
      </c>
      <c r="G59" s="231">
        <f t="shared" si="34"/>
        <v>0</v>
      </c>
      <c r="H59" s="231">
        <f t="shared" si="34"/>
        <v>0</v>
      </c>
      <c r="I59" s="231">
        <f t="shared" si="34"/>
        <v>0</v>
      </c>
      <c r="J59" s="231">
        <f t="shared" si="34"/>
        <v>0</v>
      </c>
      <c r="K59" s="231">
        <f t="shared" si="34"/>
        <v>0</v>
      </c>
      <c r="L59" s="231">
        <f t="shared" si="34"/>
        <v>0</v>
      </c>
      <c r="M59" s="231">
        <f t="shared" si="34"/>
        <v>0</v>
      </c>
      <c r="N59" s="247">
        <f t="shared" si="34"/>
        <v>250</v>
      </c>
      <c r="O59" s="247">
        <f t="shared" si="34"/>
        <v>0</v>
      </c>
      <c r="P59" s="247">
        <f t="shared" si="34"/>
        <v>0</v>
      </c>
      <c r="Q59" s="247">
        <f t="shared" si="34"/>
        <v>0</v>
      </c>
      <c r="R59" s="314">
        <f t="shared" si="27"/>
        <v>250</v>
      </c>
      <c r="S59" s="308">
        <f>+E59-R59</f>
        <v>0</v>
      </c>
      <c r="T59" s="29"/>
      <c r="U59" s="285">
        <f>+ROUND(R59*Inflation_Rate,0)</f>
        <v>260</v>
      </c>
    </row>
    <row r="60" spans="1:24" ht="13.8" x14ac:dyDescent="0.25">
      <c r="A60" s="259" t="s">
        <v>282</v>
      </c>
      <c r="B60" s="83" t="s">
        <v>13</v>
      </c>
      <c r="N60" s="210">
        <v>25</v>
      </c>
      <c r="R60" s="268">
        <f t="shared" si="27"/>
        <v>25</v>
      </c>
      <c r="S60" s="243"/>
      <c r="U60" s="271"/>
    </row>
    <row r="61" spans="1:24" ht="13.8" x14ac:dyDescent="0.25">
      <c r="A61" s="246"/>
      <c r="B61" s="230" t="s">
        <v>344</v>
      </c>
      <c r="C61" s="320">
        <f>+'BudgerandActual Spend 24-25'!I25</f>
        <v>31</v>
      </c>
      <c r="D61" s="319">
        <f>+'Spend Jan-Mar25'!H68</f>
        <v>0</v>
      </c>
      <c r="E61" s="318">
        <f>+D61+C61</f>
        <v>31</v>
      </c>
      <c r="F61" s="231">
        <f t="shared" ref="F61:Q61" si="35">SUM(F60:F60)</f>
        <v>0</v>
      </c>
      <c r="G61" s="231">
        <f t="shared" si="35"/>
        <v>0</v>
      </c>
      <c r="H61" s="231">
        <f t="shared" si="35"/>
        <v>0</v>
      </c>
      <c r="I61" s="231">
        <f t="shared" si="35"/>
        <v>0</v>
      </c>
      <c r="J61" s="231">
        <f t="shared" si="35"/>
        <v>0</v>
      </c>
      <c r="K61" s="231">
        <f t="shared" si="35"/>
        <v>0</v>
      </c>
      <c r="L61" s="231">
        <f t="shared" si="35"/>
        <v>0</v>
      </c>
      <c r="M61" s="231">
        <f t="shared" si="35"/>
        <v>0</v>
      </c>
      <c r="N61" s="247">
        <f t="shared" si="35"/>
        <v>25</v>
      </c>
      <c r="O61" s="247">
        <f t="shared" si="35"/>
        <v>0</v>
      </c>
      <c r="P61" s="247">
        <f t="shared" si="35"/>
        <v>0</v>
      </c>
      <c r="Q61" s="247">
        <f t="shared" si="35"/>
        <v>0</v>
      </c>
      <c r="R61" s="314">
        <f t="shared" si="27"/>
        <v>25</v>
      </c>
      <c r="S61" s="308">
        <f>+E61-R61</f>
        <v>6</v>
      </c>
      <c r="T61" s="29"/>
      <c r="U61" s="285">
        <f>+ROUND(R61*Inflation_Rate,0)</f>
        <v>26</v>
      </c>
    </row>
    <row r="62" spans="1:24" ht="13.8" x14ac:dyDescent="0.25">
      <c r="A62" s="260" t="s">
        <v>282</v>
      </c>
      <c r="B62" s="83" t="s">
        <v>15</v>
      </c>
      <c r="N62" s="210">
        <v>260</v>
      </c>
      <c r="R62" s="268">
        <f t="shared" si="27"/>
        <v>260</v>
      </c>
      <c r="S62" s="243"/>
      <c r="U62" s="271"/>
    </row>
    <row r="63" spans="1:24" ht="13.8" x14ac:dyDescent="0.25">
      <c r="A63" s="246"/>
      <c r="B63" s="230" t="s">
        <v>345</v>
      </c>
      <c r="C63" s="320">
        <f>+'BudgerandActual Spend 24-25'!I26</f>
        <v>260</v>
      </c>
      <c r="D63" s="319">
        <f>+'Spend Jan-Mar25'!H71</f>
        <v>0</v>
      </c>
      <c r="E63" s="318">
        <f>+D63+C63</f>
        <v>260</v>
      </c>
      <c r="F63" s="231">
        <f t="shared" ref="F63:Q63" si="36">SUM(F62:F62)</f>
        <v>0</v>
      </c>
      <c r="G63" s="231">
        <f t="shared" si="36"/>
        <v>0</v>
      </c>
      <c r="H63" s="231">
        <f t="shared" si="36"/>
        <v>0</v>
      </c>
      <c r="I63" s="231">
        <f t="shared" si="36"/>
        <v>0</v>
      </c>
      <c r="J63" s="231">
        <f t="shared" si="36"/>
        <v>0</v>
      </c>
      <c r="K63" s="231">
        <f t="shared" si="36"/>
        <v>0</v>
      </c>
      <c r="L63" s="231">
        <f t="shared" si="36"/>
        <v>0</v>
      </c>
      <c r="M63" s="231">
        <f t="shared" si="36"/>
        <v>0</v>
      </c>
      <c r="N63" s="247">
        <f t="shared" si="36"/>
        <v>260</v>
      </c>
      <c r="O63" s="247">
        <f t="shared" si="36"/>
        <v>0</v>
      </c>
      <c r="P63" s="247">
        <f t="shared" si="36"/>
        <v>0</v>
      </c>
      <c r="Q63" s="247">
        <f t="shared" si="36"/>
        <v>0</v>
      </c>
      <c r="R63" s="314">
        <f t="shared" si="27"/>
        <v>260</v>
      </c>
      <c r="S63" s="308">
        <f>+E63-R63</f>
        <v>0</v>
      </c>
      <c r="T63" s="29"/>
      <c r="U63" s="285">
        <f>+ROUND(R63*Inflation_Rate,0)</f>
        <v>270</v>
      </c>
    </row>
    <row r="64" spans="1:24" ht="13.8" x14ac:dyDescent="0.25">
      <c r="A64" s="259" t="s">
        <v>282</v>
      </c>
      <c r="B64" s="83" t="s">
        <v>20</v>
      </c>
      <c r="I64" s="211">
        <v>500</v>
      </c>
      <c r="R64" s="268">
        <f t="shared" si="27"/>
        <v>500</v>
      </c>
      <c r="S64" s="243"/>
      <c r="U64" s="271"/>
    </row>
    <row r="65" spans="1:22" ht="13.8" x14ac:dyDescent="0.25">
      <c r="A65" s="246"/>
      <c r="B65" s="230" t="s">
        <v>346</v>
      </c>
      <c r="C65" s="320">
        <f>+'BudgerandActual Spend 24-25'!I27</f>
        <v>521</v>
      </c>
      <c r="D65" s="319">
        <f>+'Spend Jan-Mar25'!H74</f>
        <v>0</v>
      </c>
      <c r="E65" s="318">
        <f>+D65+C65</f>
        <v>521</v>
      </c>
      <c r="F65" s="231">
        <f t="shared" ref="F65:Q65" si="37">SUM(F64:F64)</f>
        <v>0</v>
      </c>
      <c r="G65" s="231">
        <f t="shared" si="37"/>
        <v>0</v>
      </c>
      <c r="H65" s="231">
        <f t="shared" si="37"/>
        <v>0</v>
      </c>
      <c r="I65" s="231">
        <f t="shared" si="37"/>
        <v>500</v>
      </c>
      <c r="J65" s="231">
        <f t="shared" si="37"/>
        <v>0</v>
      </c>
      <c r="K65" s="231">
        <f t="shared" si="37"/>
        <v>0</v>
      </c>
      <c r="L65" s="231">
        <f t="shared" si="37"/>
        <v>0</v>
      </c>
      <c r="M65" s="231">
        <f t="shared" si="37"/>
        <v>0</v>
      </c>
      <c r="N65" s="247">
        <f t="shared" si="37"/>
        <v>0</v>
      </c>
      <c r="O65" s="247">
        <f t="shared" si="37"/>
        <v>0</v>
      </c>
      <c r="P65" s="247">
        <f t="shared" si="37"/>
        <v>0</v>
      </c>
      <c r="Q65" s="247">
        <f t="shared" si="37"/>
        <v>0</v>
      </c>
      <c r="R65" s="314">
        <f t="shared" si="27"/>
        <v>500</v>
      </c>
      <c r="S65" s="308">
        <f>+E65-R65</f>
        <v>21</v>
      </c>
      <c r="T65" s="29"/>
      <c r="U65" s="285">
        <f>+ROUND(R65*Inflation_Rate,0)</f>
        <v>520</v>
      </c>
    </row>
    <row r="66" spans="1:22" ht="13.8" x14ac:dyDescent="0.25">
      <c r="A66" s="259" t="s">
        <v>282</v>
      </c>
      <c r="B66" s="83" t="s">
        <v>154</v>
      </c>
      <c r="N66" s="210">
        <v>260</v>
      </c>
      <c r="R66" s="268">
        <f t="shared" si="27"/>
        <v>260</v>
      </c>
      <c r="U66" s="271"/>
    </row>
    <row r="67" spans="1:22" ht="13.8" x14ac:dyDescent="0.25">
      <c r="A67" s="246" t="s">
        <v>282</v>
      </c>
      <c r="B67" s="230" t="s">
        <v>347</v>
      </c>
      <c r="C67" s="320">
        <f>+'BudgerandActual Spend 24-25'!I29</f>
        <v>260</v>
      </c>
      <c r="D67" s="319">
        <f>+'Spend Jan-Mar25'!H80</f>
        <v>0</v>
      </c>
      <c r="E67" s="318">
        <f>+D67+C67</f>
        <v>260</v>
      </c>
      <c r="F67" s="231">
        <f t="shared" ref="F67:Q67" si="38">SUM(F66:F66)</f>
        <v>0</v>
      </c>
      <c r="G67" s="231">
        <f t="shared" si="38"/>
        <v>0</v>
      </c>
      <c r="H67" s="231">
        <f t="shared" si="38"/>
        <v>0</v>
      </c>
      <c r="I67" s="231">
        <f t="shared" si="38"/>
        <v>0</v>
      </c>
      <c r="J67" s="231">
        <f t="shared" si="38"/>
        <v>0</v>
      </c>
      <c r="K67" s="231">
        <f t="shared" si="38"/>
        <v>0</v>
      </c>
      <c r="L67" s="231">
        <f t="shared" si="38"/>
        <v>0</v>
      </c>
      <c r="M67" s="231">
        <f t="shared" si="38"/>
        <v>0</v>
      </c>
      <c r="N67" s="247">
        <f t="shared" si="38"/>
        <v>260</v>
      </c>
      <c r="O67" s="247">
        <f t="shared" si="38"/>
        <v>0</v>
      </c>
      <c r="P67" s="247">
        <f t="shared" si="38"/>
        <v>0</v>
      </c>
      <c r="Q67" s="247">
        <f t="shared" si="38"/>
        <v>0</v>
      </c>
      <c r="R67" s="314">
        <f t="shared" si="27"/>
        <v>260</v>
      </c>
      <c r="S67" s="308">
        <f>+E67-R67</f>
        <v>0</v>
      </c>
      <c r="T67" s="29"/>
      <c r="U67" s="285">
        <f>+ROUND(R67*Inflation_Rate,0)</f>
        <v>270</v>
      </c>
    </row>
    <row r="68" spans="1:22" ht="13.8" x14ac:dyDescent="0.25">
      <c r="A68" s="257" t="s">
        <v>282</v>
      </c>
      <c r="B68" s="83" t="s">
        <v>299</v>
      </c>
      <c r="Q68" s="210">
        <v>500</v>
      </c>
      <c r="R68" s="268">
        <f t="shared" si="27"/>
        <v>500</v>
      </c>
      <c r="U68" s="271"/>
    </row>
    <row r="69" spans="1:22" ht="13.8" x14ac:dyDescent="0.25">
      <c r="A69" s="296"/>
      <c r="B69" s="83" t="s">
        <v>317</v>
      </c>
      <c r="L69" s="287">
        <f>((SUM(F68:L68)*0.166)*-1)-SUM(F69:K69)</f>
        <v>0</v>
      </c>
      <c r="Q69" s="210">
        <f>((SUM(R68)*0.166)*-1)-SUM(F69:P69)</f>
        <v>-83</v>
      </c>
      <c r="R69" s="268">
        <f t="shared" si="27"/>
        <v>-83</v>
      </c>
      <c r="U69" s="271"/>
    </row>
    <row r="70" spans="1:22" ht="13.8" x14ac:dyDescent="0.25">
      <c r="A70" s="246" t="s">
        <v>282</v>
      </c>
      <c r="B70" s="230" t="s">
        <v>348</v>
      </c>
      <c r="C70" s="320">
        <f>+'BudgerandActual Spend 24-25'!I31</f>
        <v>500</v>
      </c>
      <c r="D70" s="319">
        <f>+'Spend Jan-Mar25'!H86</f>
        <v>0</v>
      </c>
      <c r="E70" s="318">
        <f>+D70+C70</f>
        <v>500</v>
      </c>
      <c r="F70" s="231">
        <f t="shared" ref="F70" si="39">SUM(F68:F69)</f>
        <v>0</v>
      </c>
      <c r="G70" s="231">
        <f t="shared" ref="G70" si="40">SUM(G68:G69)</f>
        <v>0</v>
      </c>
      <c r="H70" s="231">
        <f t="shared" ref="H70" si="41">SUM(H68:H69)</f>
        <v>0</v>
      </c>
      <c r="I70" s="231">
        <f t="shared" ref="I70" si="42">SUM(I68:I69)</f>
        <v>0</v>
      </c>
      <c r="J70" s="231">
        <f t="shared" ref="J70" si="43">SUM(J68:J69)</f>
        <v>0</v>
      </c>
      <c r="K70" s="231">
        <f t="shared" ref="K70" si="44">SUM(K68:K69)</f>
        <v>0</v>
      </c>
      <c r="L70" s="231">
        <f t="shared" ref="L70" si="45">SUM(L68:L69)</f>
        <v>0</v>
      </c>
      <c r="M70" s="231">
        <f t="shared" ref="M70" si="46">SUM(M68:M69)</f>
        <v>0</v>
      </c>
      <c r="N70" s="247">
        <f t="shared" ref="N70" si="47">SUM(N68:N69)</f>
        <v>0</v>
      </c>
      <c r="O70" s="247">
        <f t="shared" ref="O70" si="48">SUM(O68:O69)</f>
        <v>0</v>
      </c>
      <c r="P70" s="247">
        <f t="shared" ref="P70" si="49">SUM(P68:P69)</f>
        <v>0</v>
      </c>
      <c r="Q70" s="247">
        <f>SUM(Q68:Q69)</f>
        <v>417</v>
      </c>
      <c r="R70" s="314">
        <f t="shared" si="27"/>
        <v>417</v>
      </c>
      <c r="S70" s="308">
        <f>+E70-R70</f>
        <v>83</v>
      </c>
      <c r="T70" s="29"/>
      <c r="U70" s="285">
        <f>+ROUND(R70*Inflation_Rate,0)</f>
        <v>434</v>
      </c>
    </row>
    <row r="71" spans="1:22" ht="13.8" x14ac:dyDescent="0.25">
      <c r="A71" s="257" t="s">
        <v>282</v>
      </c>
      <c r="B71" s="83" t="s">
        <v>23</v>
      </c>
      <c r="F71" s="258">
        <v>18.23</v>
      </c>
      <c r="G71" s="211">
        <v>17.64</v>
      </c>
      <c r="J71" s="211">
        <v>54.23</v>
      </c>
      <c r="N71" s="210">
        <v>19</v>
      </c>
      <c r="O71" s="210">
        <v>19</v>
      </c>
      <c r="P71" s="210">
        <v>19</v>
      </c>
      <c r="Q71" s="210">
        <v>19</v>
      </c>
      <c r="R71" s="268">
        <f t="shared" si="27"/>
        <v>166.1</v>
      </c>
      <c r="U71" s="271"/>
    </row>
    <row r="72" spans="1:22" ht="13.8" x14ac:dyDescent="0.25">
      <c r="A72" s="296"/>
      <c r="B72" s="83" t="s">
        <v>317</v>
      </c>
      <c r="L72" s="287">
        <f>((SUM(F71:L71)*0.166)*-1)-SUM(F72:K72)</f>
        <v>-14.9566</v>
      </c>
      <c r="Q72" s="210">
        <f>((SUM(R71)*0.166)*-1)-SUM(F72:P72)</f>
        <v>-12.616000000000001</v>
      </c>
      <c r="R72" s="268">
        <f t="shared" ref="R72:R73" si="50">SUM(F72:Q72)</f>
        <v>-27.572600000000001</v>
      </c>
      <c r="U72" s="271"/>
    </row>
    <row r="73" spans="1:22" ht="13.8" x14ac:dyDescent="0.25">
      <c r="A73" s="246" t="s">
        <v>282</v>
      </c>
      <c r="B73" s="230" t="s">
        <v>349</v>
      </c>
      <c r="C73" s="320">
        <f>+'BudgerandActual Spend 24-25'!I34</f>
        <v>235</v>
      </c>
      <c r="D73" s="319">
        <f>+'Spend Jan-Mar25'!H96</f>
        <v>-25.620000000000005</v>
      </c>
      <c r="E73" s="318">
        <f>+D73+C73</f>
        <v>209.38</v>
      </c>
      <c r="F73" s="231">
        <f t="shared" ref="F73" si="51">SUM(F71:F72)</f>
        <v>18.23</v>
      </c>
      <c r="G73" s="231">
        <f t="shared" ref="G73" si="52">SUM(G71:G72)</f>
        <v>17.64</v>
      </c>
      <c r="H73" s="231">
        <f t="shared" ref="H73" si="53">SUM(H71:H72)</f>
        <v>0</v>
      </c>
      <c r="I73" s="231">
        <f t="shared" ref="I73" si="54">SUM(I71:I72)</f>
        <v>0</v>
      </c>
      <c r="J73" s="231">
        <f t="shared" ref="J73" si="55">SUM(J71:J72)</f>
        <v>54.23</v>
      </c>
      <c r="K73" s="231">
        <f t="shared" ref="K73" si="56">SUM(K71:K72)</f>
        <v>0</v>
      </c>
      <c r="L73" s="231">
        <f t="shared" ref="L73" si="57">SUM(L71:L72)</f>
        <v>-14.9566</v>
      </c>
      <c r="M73" s="231">
        <v>0</v>
      </c>
      <c r="N73" s="247">
        <f t="shared" ref="N73" si="58">SUM(N71:N72)</f>
        <v>19</v>
      </c>
      <c r="O73" s="247">
        <v>0</v>
      </c>
      <c r="P73" s="247">
        <v>0</v>
      </c>
      <c r="Q73" s="247">
        <f>SUM(Q71:Q72)</f>
        <v>6.3839999999999986</v>
      </c>
      <c r="R73" s="314">
        <f t="shared" si="50"/>
        <v>100.5274</v>
      </c>
      <c r="S73" s="308">
        <f>+E73-R73</f>
        <v>108.8526</v>
      </c>
      <c r="T73" s="29"/>
      <c r="U73" s="285">
        <v>0</v>
      </c>
      <c r="V73" s="15" t="s">
        <v>352</v>
      </c>
    </row>
    <row r="74" spans="1:22" ht="13.8" x14ac:dyDescent="0.25">
      <c r="A74" s="113" t="s">
        <v>350</v>
      </c>
      <c r="B74" s="196"/>
      <c r="C74" s="322">
        <f>+C57+C59+C61+C63+C65+C67+C70+C73</f>
        <v>2890</v>
      </c>
      <c r="D74" s="322">
        <f>+D57+D59+D61+D63+D65+D67+D70+D73</f>
        <v>774.38</v>
      </c>
      <c r="E74" s="323">
        <f t="shared" ref="E74:S74" si="59">+E73+E70+E67+E65+E63+E61+E59+E57</f>
        <v>3664.38</v>
      </c>
      <c r="F74" s="212">
        <f t="shared" si="59"/>
        <v>18.23</v>
      </c>
      <c r="G74" s="212">
        <f t="shared" si="59"/>
        <v>17.64</v>
      </c>
      <c r="H74" s="212">
        <f t="shared" si="59"/>
        <v>0</v>
      </c>
      <c r="I74" s="212">
        <f t="shared" si="59"/>
        <v>500</v>
      </c>
      <c r="J74" s="212">
        <f t="shared" si="59"/>
        <v>1034.6299999999999</v>
      </c>
      <c r="K74" s="212">
        <f t="shared" si="59"/>
        <v>0</v>
      </c>
      <c r="L74" s="212">
        <f t="shared" si="59"/>
        <v>-177.703</v>
      </c>
      <c r="M74" s="212">
        <f t="shared" si="59"/>
        <v>0</v>
      </c>
      <c r="N74" s="212">
        <f t="shared" si="59"/>
        <v>814</v>
      </c>
      <c r="O74" s="212">
        <f t="shared" si="59"/>
        <v>0</v>
      </c>
      <c r="P74" s="212">
        <f t="shared" si="59"/>
        <v>0</v>
      </c>
      <c r="Q74" s="212">
        <f t="shared" si="59"/>
        <v>423.38400000000001</v>
      </c>
      <c r="R74" s="269">
        <f t="shared" si="59"/>
        <v>2630.181</v>
      </c>
      <c r="S74" s="307">
        <f t="shared" si="59"/>
        <v>1034.1990000000001</v>
      </c>
      <c r="T74" s="212"/>
      <c r="U74" s="275">
        <f>+U73+U70+U67+U65+U63+U61+U59+U57</f>
        <v>2630</v>
      </c>
    </row>
    <row r="75" spans="1:22" x14ac:dyDescent="0.25">
      <c r="A75" s="210"/>
      <c r="B75" s="210"/>
      <c r="C75" s="210"/>
      <c r="D75" s="210"/>
      <c r="E75" s="210"/>
      <c r="R75" s="268"/>
      <c r="S75" s="210"/>
    </row>
    <row r="76" spans="1:22" ht="13.8" x14ac:dyDescent="0.25">
      <c r="A76" s="407" t="s">
        <v>378</v>
      </c>
      <c r="B76" s="407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</row>
    <row r="77" spans="1:22" ht="13.8" x14ac:dyDescent="0.25">
      <c r="A77" s="259" t="s">
        <v>300</v>
      </c>
      <c r="B77" s="83" t="s">
        <v>237</v>
      </c>
      <c r="F77" s="258">
        <v>625</v>
      </c>
      <c r="G77" s="211">
        <v>625</v>
      </c>
      <c r="H77" s="211">
        <v>625</v>
      </c>
      <c r="I77" s="211">
        <v>650</v>
      </c>
      <c r="J77" s="211">
        <v>650</v>
      </c>
      <c r="K77" s="211">
        <v>650</v>
      </c>
      <c r="L77" s="211">
        <v>650</v>
      </c>
      <c r="M77" s="211">
        <v>650</v>
      </c>
      <c r="N77" s="210">
        <v>650</v>
      </c>
      <c r="O77" s="210">
        <v>650</v>
      </c>
      <c r="P77" s="210">
        <v>650</v>
      </c>
      <c r="Q77" s="210">
        <v>650</v>
      </c>
      <c r="R77" s="268">
        <f t="shared" ref="R77:R89" si="60">SUM(F77:Q77)</f>
        <v>7725</v>
      </c>
    </row>
    <row r="78" spans="1:22" ht="13.8" x14ac:dyDescent="0.25">
      <c r="A78" s="29"/>
      <c r="B78" s="230" t="s">
        <v>359</v>
      </c>
      <c r="C78" s="318">
        <f>+'BudgerandActual Spend 24-25'!I18</f>
        <v>7808</v>
      </c>
      <c r="D78" s="318">
        <f>+'Spend Jan-Mar25'!H47</f>
        <v>-625</v>
      </c>
      <c r="E78" s="318">
        <f>+D78+C78</f>
        <v>7183</v>
      </c>
      <c r="F78" s="231">
        <f t="shared" ref="F78:Q78" si="61">SUM(F77:F77)</f>
        <v>625</v>
      </c>
      <c r="G78" s="231">
        <f t="shared" si="61"/>
        <v>625</v>
      </c>
      <c r="H78" s="231">
        <f t="shared" si="61"/>
        <v>625</v>
      </c>
      <c r="I78" s="231">
        <f t="shared" si="61"/>
        <v>650</v>
      </c>
      <c r="J78" s="231">
        <f t="shared" si="61"/>
        <v>650</v>
      </c>
      <c r="K78" s="231">
        <f t="shared" si="61"/>
        <v>650</v>
      </c>
      <c r="L78" s="231">
        <f t="shared" si="61"/>
        <v>650</v>
      </c>
      <c r="M78" s="231">
        <f t="shared" si="61"/>
        <v>650</v>
      </c>
      <c r="N78" s="247">
        <f t="shared" si="61"/>
        <v>650</v>
      </c>
      <c r="O78" s="247">
        <f t="shared" si="61"/>
        <v>650</v>
      </c>
      <c r="P78" s="247">
        <f t="shared" si="61"/>
        <v>650</v>
      </c>
      <c r="Q78" s="247">
        <f t="shared" si="61"/>
        <v>650</v>
      </c>
      <c r="R78" s="314">
        <f t="shared" si="60"/>
        <v>7725</v>
      </c>
      <c r="S78" s="308">
        <f>+E78-R78</f>
        <v>-542</v>
      </c>
      <c r="T78" s="29"/>
      <c r="U78" s="285">
        <f>+ROUND(R78*Inflation_Rate,0)</f>
        <v>8034</v>
      </c>
    </row>
    <row r="79" spans="1:22" ht="13.8" x14ac:dyDescent="0.25">
      <c r="A79" s="259" t="s">
        <v>300</v>
      </c>
      <c r="B79" s="83" t="s">
        <v>134</v>
      </c>
      <c r="J79" s="211">
        <v>300</v>
      </c>
      <c r="K79" s="211">
        <v>25</v>
      </c>
      <c r="N79" s="258">
        <v>250</v>
      </c>
      <c r="R79" s="268">
        <f t="shared" si="60"/>
        <v>575</v>
      </c>
      <c r="T79" s="15" t="s">
        <v>301</v>
      </c>
    </row>
    <row r="80" spans="1:22" ht="13.8" x14ac:dyDescent="0.25">
      <c r="A80" s="259"/>
      <c r="B80" s="83" t="s">
        <v>385</v>
      </c>
      <c r="M80" s="211">
        <v>25</v>
      </c>
      <c r="O80" s="210">
        <v>25</v>
      </c>
      <c r="Q80" s="210">
        <v>25</v>
      </c>
      <c r="R80" s="268">
        <f t="shared" si="60"/>
        <v>75</v>
      </c>
      <c r="T80" s="15"/>
    </row>
    <row r="81" spans="1:22" ht="13.8" x14ac:dyDescent="0.25">
      <c r="A81" s="29"/>
      <c r="B81" s="230" t="s">
        <v>362</v>
      </c>
      <c r="C81" s="318">
        <f>+'BudgerandActual Spend 24-25'!I19</f>
        <v>521</v>
      </c>
      <c r="D81" s="318">
        <f>+'Spend Jan-Mar25'!H50</f>
        <v>400</v>
      </c>
      <c r="E81" s="318">
        <f>+D81+C81</f>
        <v>921</v>
      </c>
      <c r="F81" s="231">
        <f t="shared" ref="F81:P81" si="62">SUM(F79:F80)</f>
        <v>0</v>
      </c>
      <c r="G81" s="231">
        <f t="shared" si="62"/>
        <v>0</v>
      </c>
      <c r="H81" s="231">
        <f t="shared" si="62"/>
        <v>0</v>
      </c>
      <c r="I81" s="231">
        <f t="shared" si="62"/>
        <v>0</v>
      </c>
      <c r="J81" s="231">
        <f t="shared" si="62"/>
        <v>300</v>
      </c>
      <c r="K81" s="231">
        <f t="shared" si="62"/>
        <v>25</v>
      </c>
      <c r="L81" s="231">
        <f t="shared" si="62"/>
        <v>0</v>
      </c>
      <c r="M81" s="231">
        <f t="shared" si="62"/>
        <v>25</v>
      </c>
      <c r="N81" s="247">
        <f t="shared" si="62"/>
        <v>250</v>
      </c>
      <c r="O81" s="247">
        <f t="shared" si="62"/>
        <v>25</v>
      </c>
      <c r="P81" s="247">
        <f t="shared" si="62"/>
        <v>0</v>
      </c>
      <c r="Q81" s="247">
        <f>SUM(Q79:Q80)</f>
        <v>25</v>
      </c>
      <c r="R81" s="314">
        <f t="shared" si="60"/>
        <v>650</v>
      </c>
      <c r="S81" s="308">
        <f>+E81-R81</f>
        <v>271</v>
      </c>
      <c r="T81" s="29"/>
      <c r="U81" s="292">
        <f>+ROUND(R81*Inflation_Rate,0)</f>
        <v>676</v>
      </c>
    </row>
    <row r="82" spans="1:22" ht="13.8" x14ac:dyDescent="0.25">
      <c r="A82" s="259" t="s">
        <v>300</v>
      </c>
      <c r="B82" s="83" t="s">
        <v>386</v>
      </c>
      <c r="R82" s="268">
        <f t="shared" ref="R82:R83" si="63">SUM(F82:Q82)</f>
        <v>0</v>
      </c>
      <c r="S82" s="15"/>
    </row>
    <row r="83" spans="1:22" ht="13.8" x14ac:dyDescent="0.25">
      <c r="A83" s="272"/>
      <c r="B83" s="230" t="s">
        <v>363</v>
      </c>
      <c r="C83" s="318">
        <v>0</v>
      </c>
      <c r="D83" s="318">
        <v>0</v>
      </c>
      <c r="E83" s="318">
        <v>0</v>
      </c>
      <c r="F83" s="312">
        <f>SUM(F82)</f>
        <v>0</v>
      </c>
      <c r="G83" s="312">
        <f t="shared" ref="G83:Q83" si="64">SUM(G82)</f>
        <v>0</v>
      </c>
      <c r="H83" s="312">
        <f t="shared" si="64"/>
        <v>0</v>
      </c>
      <c r="I83" s="312">
        <f t="shared" si="64"/>
        <v>0</v>
      </c>
      <c r="J83" s="312">
        <f t="shared" si="64"/>
        <v>0</v>
      </c>
      <c r="K83" s="312">
        <f t="shared" si="64"/>
        <v>0</v>
      </c>
      <c r="L83" s="312">
        <f t="shared" si="64"/>
        <v>0</v>
      </c>
      <c r="M83" s="312">
        <f t="shared" si="64"/>
        <v>0</v>
      </c>
      <c r="N83" s="313">
        <f t="shared" si="64"/>
        <v>0</v>
      </c>
      <c r="O83" s="313">
        <f t="shared" si="64"/>
        <v>0</v>
      </c>
      <c r="P83" s="313">
        <f t="shared" si="64"/>
        <v>0</v>
      </c>
      <c r="Q83" s="313">
        <f t="shared" si="64"/>
        <v>0</v>
      </c>
      <c r="R83" s="314">
        <f t="shared" si="63"/>
        <v>0</v>
      </c>
      <c r="S83" s="308">
        <f>+E83-R83</f>
        <v>0</v>
      </c>
      <c r="T83" s="29">
        <f>IF(R83&gt;=0,R83,0)</f>
        <v>0</v>
      </c>
      <c r="U83" s="273">
        <v>2000</v>
      </c>
      <c r="V83" s="15" t="s">
        <v>315</v>
      </c>
    </row>
    <row r="84" spans="1:22" ht="13.8" x14ac:dyDescent="0.25">
      <c r="A84" s="257" t="s">
        <v>300</v>
      </c>
      <c r="B84" s="83" t="s">
        <v>22</v>
      </c>
      <c r="G84" s="211">
        <f>1008.22*2</f>
        <v>2016.44</v>
      </c>
      <c r="I84" s="211">
        <f>1337.93+1196.4</f>
        <v>2534.33</v>
      </c>
      <c r="J84" s="211">
        <v>944.81</v>
      </c>
      <c r="L84" s="211">
        <v>1196.4000000000001</v>
      </c>
      <c r="M84" s="211">
        <v>944.81</v>
      </c>
      <c r="Q84" s="210">
        <v>1000</v>
      </c>
      <c r="R84" s="268">
        <f t="shared" si="60"/>
        <v>8636.7899999999991</v>
      </c>
      <c r="T84" s="15"/>
    </row>
    <row r="85" spans="1:22" ht="13.8" x14ac:dyDescent="0.25">
      <c r="A85" s="296" t="s">
        <v>371</v>
      </c>
      <c r="B85" s="83" t="s">
        <v>317</v>
      </c>
      <c r="L85" s="287">
        <f>((SUM(F84:L84)*0.166)*-1)-SUM(F85:K85)</f>
        <v>-1110.86868</v>
      </c>
      <c r="Q85" s="210">
        <f>((SUM(R84)*0.166)*-1)-SUM(F85:P85)</f>
        <v>-322.83845999999994</v>
      </c>
      <c r="R85" s="268">
        <f t="shared" ref="R85:R86" si="65">SUM(F85:Q85)</f>
        <v>-1433.70714</v>
      </c>
      <c r="T85" s="15"/>
    </row>
    <row r="86" spans="1:22" ht="13.8" x14ac:dyDescent="0.25">
      <c r="A86" s="29"/>
      <c r="B86" s="230" t="s">
        <v>361</v>
      </c>
      <c r="C86" s="318">
        <f>+'BudgerandActual Spend 24-25'!I20</f>
        <v>7250</v>
      </c>
      <c r="D86" s="318">
        <f>+'Spend Jan-Mar25'!H53</f>
        <v>1803.42</v>
      </c>
      <c r="E86" s="318">
        <f>+D86+C86</f>
        <v>9053.42</v>
      </c>
      <c r="F86" s="231">
        <f t="shared" ref="F86:I86" si="66">SUM(F84:F85)</f>
        <v>0</v>
      </c>
      <c r="G86" s="231">
        <f t="shared" si="66"/>
        <v>2016.44</v>
      </c>
      <c r="H86" s="231">
        <f t="shared" si="66"/>
        <v>0</v>
      </c>
      <c r="I86" s="231">
        <f t="shared" si="66"/>
        <v>2534.33</v>
      </c>
      <c r="J86" s="231">
        <f>SUM(J84:J85)</f>
        <v>944.81</v>
      </c>
      <c r="K86" s="231">
        <f t="shared" ref="K86" si="67">SUM(K84:K85)</f>
        <v>0</v>
      </c>
      <c r="L86" s="231">
        <f t="shared" ref="L86" si="68">SUM(L84:L85)</f>
        <v>85.531320000000051</v>
      </c>
      <c r="M86" s="231">
        <f t="shared" ref="M86" si="69">SUM(M84:M85)</f>
        <v>944.81</v>
      </c>
      <c r="N86" s="247">
        <f t="shared" ref="N86" si="70">SUM(N84:N85)</f>
        <v>0</v>
      </c>
      <c r="O86" s="247">
        <f t="shared" ref="O86" si="71">SUM(O84:O85)</f>
        <v>0</v>
      </c>
      <c r="P86" s="247">
        <f t="shared" ref="P86" si="72">SUM(P84:P85)</f>
        <v>0</v>
      </c>
      <c r="Q86" s="247">
        <f>SUM(Q84:Q85)</f>
        <v>677.16154000000006</v>
      </c>
      <c r="R86" s="314">
        <f t="shared" si="65"/>
        <v>7203.0828599999995</v>
      </c>
      <c r="S86" s="308">
        <f>+E86-R86</f>
        <v>1850.3371400000005</v>
      </c>
      <c r="T86" s="246"/>
      <c r="U86" s="292">
        <f>+ROUND(R86*Inflation_Rate,0)</f>
        <v>7491</v>
      </c>
    </row>
    <row r="87" spans="1:22" ht="13.8" x14ac:dyDescent="0.25">
      <c r="A87" s="259" t="s">
        <v>300</v>
      </c>
      <c r="B87" s="83" t="s">
        <v>146</v>
      </c>
      <c r="P87" s="210">
        <v>1562</v>
      </c>
      <c r="R87" s="268">
        <f t="shared" si="60"/>
        <v>1562</v>
      </c>
      <c r="T87" s="15"/>
    </row>
    <row r="88" spans="1:22" ht="13.8" x14ac:dyDescent="0.25">
      <c r="A88" s="29"/>
      <c r="B88" s="230" t="s">
        <v>360</v>
      </c>
      <c r="C88" s="320">
        <f>+'BudgerandActual Spend 24-25'!I21</f>
        <v>1562</v>
      </c>
      <c r="D88" s="319">
        <f>+'Spend Jan-Mar25'!H56</f>
        <v>0</v>
      </c>
      <c r="E88" s="318">
        <f>+D88+C88</f>
        <v>1562</v>
      </c>
      <c r="F88" s="231">
        <f t="shared" ref="F88:Q88" si="73">SUM(F87:F87)</f>
        <v>0</v>
      </c>
      <c r="G88" s="231">
        <f t="shared" si="73"/>
        <v>0</v>
      </c>
      <c r="H88" s="231">
        <f t="shared" si="73"/>
        <v>0</v>
      </c>
      <c r="I88" s="231">
        <f t="shared" si="73"/>
        <v>0</v>
      </c>
      <c r="J88" s="231">
        <f t="shared" si="73"/>
        <v>0</v>
      </c>
      <c r="K88" s="231">
        <f t="shared" si="73"/>
        <v>0</v>
      </c>
      <c r="L88" s="231">
        <f t="shared" si="73"/>
        <v>0</v>
      </c>
      <c r="M88" s="231">
        <f t="shared" si="73"/>
        <v>0</v>
      </c>
      <c r="N88" s="247">
        <f t="shared" si="73"/>
        <v>0</v>
      </c>
      <c r="O88" s="247">
        <f t="shared" si="73"/>
        <v>0</v>
      </c>
      <c r="P88" s="247">
        <f t="shared" si="73"/>
        <v>1562</v>
      </c>
      <c r="Q88" s="247">
        <f t="shared" si="73"/>
        <v>0</v>
      </c>
      <c r="R88" s="314">
        <f t="shared" si="60"/>
        <v>1562</v>
      </c>
      <c r="S88" s="308">
        <f>+E88-R88</f>
        <v>0</v>
      </c>
      <c r="T88" s="29"/>
      <c r="U88" s="285">
        <f>+ROUND(R88*Inflation_Rate,0)</f>
        <v>1624</v>
      </c>
    </row>
    <row r="89" spans="1:22" ht="13.8" x14ac:dyDescent="0.25">
      <c r="A89" s="257" t="s">
        <v>284</v>
      </c>
      <c r="B89" s="83" t="s">
        <v>260</v>
      </c>
      <c r="J89" s="211">
        <v>1324.8</v>
      </c>
      <c r="R89" s="268">
        <f t="shared" si="60"/>
        <v>1324.8</v>
      </c>
      <c r="T89" s="15"/>
    </row>
    <row r="90" spans="1:22" ht="13.8" x14ac:dyDescent="0.25">
      <c r="A90" s="296" t="s">
        <v>371</v>
      </c>
      <c r="B90" s="83" t="s">
        <v>317</v>
      </c>
      <c r="L90" s="287">
        <f>((SUM(F89:L89)*0.166)*-1)-SUM(F90:K90)</f>
        <v>-219.91679999999999</v>
      </c>
      <c r="Q90" s="210">
        <f>((SUM(R89)*0.166)*-1)-SUM(F90:P90)</f>
        <v>0</v>
      </c>
      <c r="R90" s="268">
        <f t="shared" ref="R90:R91" si="74">SUM(F90:Q90)</f>
        <v>-219.91679999999999</v>
      </c>
      <c r="T90" s="15"/>
    </row>
    <row r="91" spans="1:22" ht="13.8" x14ac:dyDescent="0.25">
      <c r="A91" s="246" t="s">
        <v>284</v>
      </c>
      <c r="B91" s="230" t="s">
        <v>364</v>
      </c>
      <c r="C91" s="320">
        <f>+'BudgerandActual Spend 24-25'!I33</f>
        <v>600</v>
      </c>
      <c r="D91" s="319">
        <f>+'Spend Jan-Mar25'!H93</f>
        <v>-302.39999999999998</v>
      </c>
      <c r="E91" s="318">
        <f>+D91+C91</f>
        <v>297.60000000000002</v>
      </c>
      <c r="F91" s="231">
        <f t="shared" ref="F91:I91" si="75">SUM(F89:F90)</f>
        <v>0</v>
      </c>
      <c r="G91" s="231">
        <f t="shared" si="75"/>
        <v>0</v>
      </c>
      <c r="H91" s="231">
        <f t="shared" si="75"/>
        <v>0</v>
      </c>
      <c r="I91" s="231">
        <f t="shared" si="75"/>
        <v>0</v>
      </c>
      <c r="J91" s="231">
        <f>SUM(J89:J90)</f>
        <v>1324.8</v>
      </c>
      <c r="K91" s="231">
        <f t="shared" ref="K91:L91" si="76">SUM(K89:K90)</f>
        <v>0</v>
      </c>
      <c r="L91" s="231">
        <f t="shared" si="76"/>
        <v>-219.91679999999999</v>
      </c>
      <c r="M91" s="231">
        <f t="shared" ref="M91" si="77">SUM(M89:M90)</f>
        <v>0</v>
      </c>
      <c r="N91" s="247">
        <f t="shared" ref="N91" si="78">SUM(N89:N90)</f>
        <v>0</v>
      </c>
      <c r="O91" s="247">
        <f t="shared" ref="O91" si="79">SUM(O89:O90)</f>
        <v>0</v>
      </c>
      <c r="P91" s="247">
        <f t="shared" ref="P91" si="80">SUM(P89:P90)</f>
        <v>0</v>
      </c>
      <c r="Q91" s="247">
        <f>SUM(Q89:Q90)</f>
        <v>0</v>
      </c>
      <c r="R91" s="314">
        <f t="shared" si="74"/>
        <v>1104.8832</v>
      </c>
      <c r="S91" s="308">
        <f>+E91-R91</f>
        <v>-807.28319999999997</v>
      </c>
      <c r="T91" s="15" t="s">
        <v>297</v>
      </c>
      <c r="U91" s="285">
        <f>+ROUND(R91*Inflation_Rate,0)</f>
        <v>1149</v>
      </c>
    </row>
    <row r="92" spans="1:22" ht="13.8" x14ac:dyDescent="0.25">
      <c r="A92" s="113" t="s">
        <v>379</v>
      </c>
      <c r="B92" s="196"/>
      <c r="C92" s="324">
        <f t="shared" ref="C92" si="81">+C91+C88+C86+C81+C78+C83</f>
        <v>17741</v>
      </c>
      <c r="D92" s="324">
        <f t="shared" ref="D92" si="82">+D91+D88+D86+D81+D78+D83</f>
        <v>1276.02</v>
      </c>
      <c r="E92" s="324">
        <f t="shared" ref="E92" si="83">+E91+E88+E86+E81+E78+E83</f>
        <v>19017.02</v>
      </c>
      <c r="F92" s="212">
        <f t="shared" ref="F92" si="84">+F91+F88+F86+F81+F78+F83</f>
        <v>625</v>
      </c>
      <c r="G92" s="212">
        <f t="shared" ref="G92" si="85">+G91+G88+G86+G81+G78+G83</f>
        <v>2641.44</v>
      </c>
      <c r="H92" s="212">
        <f t="shared" ref="H92" si="86">+H91+H88+H86+H81+H78+H83</f>
        <v>625</v>
      </c>
      <c r="I92" s="212">
        <f t="shared" ref="I92" si="87">+I91+I88+I86+I81+I78+I83</f>
        <v>3184.33</v>
      </c>
      <c r="J92" s="212">
        <f t="shared" ref="J92" si="88">+J91+J88+J86+J81+J78+J83</f>
        <v>3219.6099999999997</v>
      </c>
      <c r="K92" s="212">
        <f t="shared" ref="K92:R92" si="89">+K91+K88+K86+K81+K78+K83</f>
        <v>675</v>
      </c>
      <c r="L92" s="212">
        <f t="shared" si="89"/>
        <v>515.61452000000008</v>
      </c>
      <c r="M92" s="212">
        <f t="shared" si="89"/>
        <v>1619.81</v>
      </c>
      <c r="N92" s="311">
        <f t="shared" si="89"/>
        <v>900</v>
      </c>
      <c r="O92" s="311">
        <f t="shared" si="89"/>
        <v>675</v>
      </c>
      <c r="P92" s="311">
        <f t="shared" si="89"/>
        <v>2212</v>
      </c>
      <c r="Q92" s="311">
        <f t="shared" si="89"/>
        <v>1352.1615400000001</v>
      </c>
      <c r="R92" s="269">
        <f t="shared" si="89"/>
        <v>18244.966059999999</v>
      </c>
      <c r="S92" s="307">
        <f t="shared" ref="S92" si="90">+S91+S88+S86+S81+S78</f>
        <v>772.05394000000069</v>
      </c>
      <c r="T92" s="114"/>
      <c r="U92" s="199">
        <f>SUM(U77:U91)</f>
        <v>20974</v>
      </c>
    </row>
    <row r="93" spans="1:22" x14ac:dyDescent="0.25">
      <c r="A93" s="210"/>
      <c r="B93" s="210"/>
      <c r="C93" s="210"/>
      <c r="D93" s="210"/>
      <c r="E93" s="210"/>
      <c r="R93" s="268"/>
      <c r="S93" s="210"/>
    </row>
    <row r="94" spans="1:22" ht="13.8" x14ac:dyDescent="0.25">
      <c r="A94" s="113" t="s">
        <v>175</v>
      </c>
      <c r="B94" s="114"/>
      <c r="C94" s="114"/>
      <c r="D94" s="114"/>
      <c r="E94" s="114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69"/>
      <c r="S94" s="212"/>
      <c r="T94" s="212"/>
      <c r="U94" s="269"/>
    </row>
    <row r="95" spans="1:22" ht="13.8" x14ac:dyDescent="0.25">
      <c r="A95" s="78"/>
      <c r="B95" s="121" t="s">
        <v>365</v>
      </c>
      <c r="C95" s="290"/>
      <c r="D95" s="290"/>
      <c r="E95" s="290"/>
      <c r="F95" s="291"/>
      <c r="G95" s="291"/>
      <c r="H95" s="291"/>
      <c r="I95" s="291"/>
      <c r="J95" s="291"/>
      <c r="K95" s="291"/>
      <c r="L95" s="291"/>
      <c r="M95" s="291"/>
      <c r="N95" s="253"/>
      <c r="O95" s="253"/>
      <c r="P95" s="253"/>
      <c r="Q95" s="253"/>
      <c r="R95" s="268">
        <f t="shared" ref="R95:R96" si="91">SUM(F95:Q95)</f>
        <v>0</v>
      </c>
      <c r="S95" s="78"/>
      <c r="T95" s="78"/>
      <c r="U95" s="293">
        <v>1000</v>
      </c>
    </row>
    <row r="96" spans="1:22" ht="13.8" x14ac:dyDescent="0.25">
      <c r="A96" s="261"/>
      <c r="B96" s="202" t="s">
        <v>366</v>
      </c>
      <c r="C96" s="290"/>
      <c r="D96" s="290"/>
      <c r="E96" s="290"/>
      <c r="F96" s="291"/>
      <c r="G96" s="291">
        <v>3250</v>
      </c>
      <c r="H96" s="291"/>
      <c r="I96" s="291"/>
      <c r="J96" s="291"/>
      <c r="K96" s="291"/>
      <c r="L96" s="291"/>
      <c r="M96" s="291"/>
      <c r="N96" s="253"/>
      <c r="O96" s="253"/>
      <c r="P96" s="253"/>
      <c r="Q96" s="253"/>
      <c r="R96" s="268">
        <f t="shared" si="91"/>
        <v>3250</v>
      </c>
      <c r="S96" s="78"/>
      <c r="T96" s="78"/>
      <c r="U96" s="285">
        <f>+ROUND(R96*Inflation_Rate,0)</f>
        <v>3380</v>
      </c>
    </row>
    <row r="97" spans="1:21" ht="13.8" x14ac:dyDescent="0.25">
      <c r="A97" s="113" t="s">
        <v>309</v>
      </c>
      <c r="B97" s="193"/>
      <c r="C97" s="323">
        <v>4250</v>
      </c>
      <c r="D97" s="325">
        <f t="shared" ref="D97:Q97" si="92">SUM(D95:D96)</f>
        <v>0</v>
      </c>
      <c r="E97" s="323">
        <f>+D97+C97</f>
        <v>4250</v>
      </c>
      <c r="F97" s="219">
        <f t="shared" si="92"/>
        <v>0</v>
      </c>
      <c r="G97" s="219">
        <f t="shared" si="92"/>
        <v>3250</v>
      </c>
      <c r="H97" s="219">
        <f t="shared" si="92"/>
        <v>0</v>
      </c>
      <c r="I97" s="219">
        <f t="shared" si="92"/>
        <v>0</v>
      </c>
      <c r="J97" s="219">
        <f t="shared" si="92"/>
        <v>0</v>
      </c>
      <c r="K97" s="219">
        <f t="shared" si="92"/>
        <v>0</v>
      </c>
      <c r="L97" s="219">
        <f t="shared" si="92"/>
        <v>0</v>
      </c>
      <c r="M97" s="219">
        <f t="shared" si="92"/>
        <v>0</v>
      </c>
      <c r="N97" s="278">
        <f t="shared" si="92"/>
        <v>0</v>
      </c>
      <c r="O97" s="278">
        <f t="shared" si="92"/>
        <v>0</v>
      </c>
      <c r="P97" s="278">
        <f t="shared" si="92"/>
        <v>0</v>
      </c>
      <c r="Q97" s="278">
        <f t="shared" si="92"/>
        <v>0</v>
      </c>
      <c r="R97" s="269">
        <f>SUM(F97:Q97)</f>
        <v>3250</v>
      </c>
      <c r="S97" s="114">
        <f>+E97-R97</f>
        <v>1000</v>
      </c>
      <c r="T97" s="114"/>
      <c r="U97" s="199">
        <f>SUM(U95:U96)</f>
        <v>4380</v>
      </c>
    </row>
    <row r="98" spans="1:21" ht="5.4" customHeight="1" x14ac:dyDescent="0.25">
      <c r="A98" s="21"/>
      <c r="B98" s="21"/>
      <c r="C98" s="21"/>
      <c r="D98" s="21"/>
      <c r="E98" s="21"/>
      <c r="F98" s="233"/>
      <c r="G98" s="233"/>
      <c r="H98" s="233"/>
      <c r="I98" s="233"/>
      <c r="J98" s="233"/>
      <c r="K98" s="233"/>
      <c r="L98" s="233"/>
      <c r="M98" s="233"/>
      <c r="N98" s="233"/>
      <c r="O98" s="233"/>
    </row>
    <row r="99" spans="1:21" ht="13.8" x14ac:dyDescent="0.25">
      <c r="A99" s="113" t="s">
        <v>194</v>
      </c>
      <c r="B99" s="114"/>
      <c r="C99" s="114"/>
      <c r="D99" s="114"/>
      <c r="E99" s="114"/>
      <c r="F99" s="212"/>
      <c r="G99" s="212"/>
      <c r="H99" s="212"/>
      <c r="I99" s="212"/>
      <c r="J99" s="212"/>
      <c r="K99" s="212"/>
      <c r="L99" s="212"/>
      <c r="M99" s="212"/>
      <c r="N99" s="212"/>
      <c r="O99" s="212"/>
      <c r="P99" s="212"/>
      <c r="Q99" s="212"/>
      <c r="R99" s="269"/>
      <c r="S99" s="212"/>
      <c r="T99" s="212"/>
      <c r="U99" s="269"/>
    </row>
    <row r="100" spans="1:21" ht="13.8" x14ac:dyDescent="0.25">
      <c r="A100" s="262"/>
      <c r="B100" s="202" t="s">
        <v>367</v>
      </c>
      <c r="C100" s="226"/>
      <c r="D100" s="226"/>
      <c r="E100" s="226"/>
      <c r="F100" s="249"/>
      <c r="G100" s="249">
        <v>504</v>
      </c>
      <c r="H100" s="249"/>
      <c r="I100" s="249"/>
      <c r="J100" s="249"/>
      <c r="K100" s="249"/>
      <c r="L100" s="249"/>
      <c r="M100" s="249"/>
      <c r="N100" s="255"/>
      <c r="O100" s="255"/>
      <c r="P100" s="255"/>
      <c r="Q100" s="255"/>
      <c r="R100" s="268">
        <f t="shared" ref="R100:R102" si="93">SUM(F100:Q100)</f>
        <v>504</v>
      </c>
    </row>
    <row r="101" spans="1:21" ht="13.8" x14ac:dyDescent="0.25">
      <c r="A101" s="262"/>
      <c r="B101" s="202" t="s">
        <v>368</v>
      </c>
      <c r="C101" s="226"/>
      <c r="D101" s="226"/>
      <c r="E101" s="226"/>
      <c r="F101" s="249"/>
      <c r="G101" s="249">
        <v>420</v>
      </c>
      <c r="H101" s="249"/>
      <c r="I101" s="249"/>
      <c r="J101" s="249"/>
      <c r="K101" s="249"/>
      <c r="L101" s="249"/>
      <c r="M101" s="249"/>
      <c r="N101" s="255"/>
      <c r="O101" s="255">
        <v>500</v>
      </c>
      <c r="P101" s="255"/>
      <c r="Q101" s="255"/>
      <c r="R101" s="268">
        <f t="shared" si="93"/>
        <v>920</v>
      </c>
    </row>
    <row r="102" spans="1:21" ht="13.8" x14ac:dyDescent="0.25">
      <c r="A102" s="262"/>
      <c r="B102" s="202" t="s">
        <v>369</v>
      </c>
      <c r="C102" s="226"/>
      <c r="D102" s="226"/>
      <c r="E102" s="226"/>
      <c r="F102" s="249"/>
      <c r="G102" s="249"/>
      <c r="H102" s="249"/>
      <c r="I102" s="249"/>
      <c r="J102" s="249"/>
      <c r="K102" s="249"/>
      <c r="L102" s="249"/>
      <c r="M102" s="249"/>
      <c r="N102" s="255"/>
      <c r="O102" s="255"/>
      <c r="P102" s="255"/>
      <c r="Q102" s="255"/>
      <c r="R102" s="268">
        <f t="shared" si="93"/>
        <v>0</v>
      </c>
    </row>
    <row r="103" spans="1:21" ht="13.8" x14ac:dyDescent="0.25">
      <c r="A103" s="295" t="s">
        <v>371</v>
      </c>
      <c r="B103" s="202" t="s">
        <v>370</v>
      </c>
      <c r="C103" s="250"/>
      <c r="D103" s="250"/>
      <c r="E103" s="250"/>
      <c r="F103" s="251"/>
      <c r="G103" s="251"/>
      <c r="H103" s="251"/>
      <c r="I103" s="251"/>
      <c r="J103" s="251"/>
      <c r="K103" s="231"/>
      <c r="L103" s="231"/>
      <c r="M103" s="231"/>
      <c r="N103" s="232"/>
      <c r="O103" s="232"/>
      <c r="P103" s="232"/>
      <c r="Q103" s="232">
        <f>((SUM(R100:R102)*0.166)*-1)-SUM(F103:P103)</f>
        <v>-236.38400000000001</v>
      </c>
      <c r="R103" s="274">
        <f t="shared" ref="R103" si="94">SUM(F103:Q103)</f>
        <v>-236.38400000000001</v>
      </c>
    </row>
    <row r="104" spans="1:21" ht="13.8" x14ac:dyDescent="0.25">
      <c r="A104" s="113" t="s">
        <v>310</v>
      </c>
      <c r="B104" s="196"/>
      <c r="C104" s="322">
        <f>+'BudgerandActual Spend 24-25'!I58</f>
        <v>3000</v>
      </c>
      <c r="D104" s="324">
        <f>SUM(D100:D102)</f>
        <v>0</v>
      </c>
      <c r="E104" s="323">
        <f>+D104+C104</f>
        <v>3000</v>
      </c>
      <c r="F104" s="212">
        <f>SUM(F100:F103)</f>
        <v>0</v>
      </c>
      <c r="G104" s="212">
        <f>SUM(G100:G103)</f>
        <v>924</v>
      </c>
      <c r="H104" s="212">
        <f t="shared" ref="H104:M104" si="95">SUM(H100:H103)</f>
        <v>0</v>
      </c>
      <c r="I104" s="212">
        <f t="shared" si="95"/>
        <v>0</v>
      </c>
      <c r="J104" s="212">
        <f t="shared" si="95"/>
        <v>0</v>
      </c>
      <c r="K104" s="212">
        <f t="shared" si="95"/>
        <v>0</v>
      </c>
      <c r="L104" s="212">
        <f t="shared" si="95"/>
        <v>0</v>
      </c>
      <c r="M104" s="212">
        <f t="shared" si="95"/>
        <v>0</v>
      </c>
      <c r="N104" s="247">
        <f t="shared" ref="N104:Q104" si="96">SUM(N100:N103)</f>
        <v>0</v>
      </c>
      <c r="O104" s="247">
        <f t="shared" si="96"/>
        <v>500</v>
      </c>
      <c r="P104" s="247">
        <f t="shared" si="96"/>
        <v>0</v>
      </c>
      <c r="Q104" s="247">
        <f t="shared" si="96"/>
        <v>-236.38400000000001</v>
      </c>
      <c r="R104" s="269">
        <f>SUM(F104:Q104)</f>
        <v>1187.616</v>
      </c>
      <c r="S104" s="307">
        <f>+E104-R104</f>
        <v>1812.384</v>
      </c>
      <c r="T104" s="114"/>
      <c r="U104" s="294">
        <f>3000*Inflation_Rate</f>
        <v>3120</v>
      </c>
    </row>
    <row r="105" spans="1:21" ht="4.95" customHeight="1" x14ac:dyDescent="0.25"/>
    <row r="106" spans="1:21" ht="13.8" x14ac:dyDescent="0.25">
      <c r="A106" s="113" t="s">
        <v>353</v>
      </c>
      <c r="B106" s="114"/>
      <c r="C106" s="114"/>
      <c r="D106" s="114"/>
      <c r="E106" s="114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69"/>
      <c r="S106" s="212"/>
      <c r="T106" s="212"/>
      <c r="U106" s="269"/>
    </row>
    <row r="107" spans="1:21" ht="13.8" x14ac:dyDescent="0.25">
      <c r="A107" s="263"/>
      <c r="B107" s="204" t="s">
        <v>372</v>
      </c>
      <c r="C107" s="300"/>
      <c r="D107" s="300"/>
      <c r="E107" s="300"/>
      <c r="F107" s="301"/>
      <c r="G107" s="301">
        <v>200</v>
      </c>
      <c r="H107" s="301"/>
      <c r="I107" s="301"/>
      <c r="J107" s="301"/>
      <c r="K107" s="301"/>
      <c r="L107" s="301"/>
      <c r="M107" s="301"/>
      <c r="N107" s="276"/>
      <c r="O107" s="276"/>
      <c r="P107" s="276"/>
      <c r="Q107" s="276"/>
      <c r="R107" s="268">
        <f t="shared" ref="R107:R111" si="97">SUM(F107:Q107)</f>
        <v>200</v>
      </c>
    </row>
    <row r="108" spans="1:21" ht="13.8" x14ac:dyDescent="0.25">
      <c r="A108" s="264"/>
      <c r="B108" s="146" t="s">
        <v>390</v>
      </c>
      <c r="C108" s="226"/>
      <c r="D108" s="226"/>
      <c r="E108" s="226"/>
      <c r="F108" s="249"/>
      <c r="G108" s="249"/>
      <c r="H108" s="249"/>
      <c r="I108" s="249"/>
      <c r="J108" s="249"/>
      <c r="K108" s="249"/>
      <c r="L108" s="249"/>
      <c r="M108" s="249"/>
      <c r="N108" s="255"/>
      <c r="O108" s="255">
        <v>400</v>
      </c>
      <c r="P108" s="255"/>
      <c r="Q108" s="255"/>
      <c r="R108" s="268">
        <f t="shared" si="97"/>
        <v>400</v>
      </c>
    </row>
    <row r="109" spans="1:21" ht="13.8" x14ac:dyDescent="0.25">
      <c r="A109" s="264"/>
      <c r="B109" s="146" t="s">
        <v>373</v>
      </c>
      <c r="C109" s="226"/>
      <c r="D109" s="226"/>
      <c r="E109" s="226"/>
      <c r="F109" s="249"/>
      <c r="G109" s="249"/>
      <c r="H109" s="249"/>
      <c r="I109" s="249"/>
      <c r="J109" s="249"/>
      <c r="K109" s="249"/>
      <c r="L109" s="249"/>
      <c r="M109" s="211"/>
      <c r="N109" s="255">
        <v>109</v>
      </c>
      <c r="O109" s="255">
        <v>250</v>
      </c>
      <c r="P109" s="255"/>
      <c r="Q109" s="255"/>
      <c r="R109" s="268">
        <f t="shared" si="97"/>
        <v>359</v>
      </c>
      <c r="U109" s="299"/>
    </row>
    <row r="110" spans="1:21" ht="13.8" x14ac:dyDescent="0.25">
      <c r="A110" s="263"/>
      <c r="B110" s="146" t="s">
        <v>374</v>
      </c>
      <c r="C110" s="226"/>
      <c r="D110" s="226"/>
      <c r="E110" s="226"/>
      <c r="F110" s="304">
        <v>288</v>
      </c>
      <c r="G110" s="249"/>
      <c r="H110" s="249"/>
      <c r="I110" s="249"/>
      <c r="J110" s="249"/>
      <c r="K110" s="249"/>
      <c r="L110" s="249"/>
      <c r="M110" s="249"/>
      <c r="N110" s="255"/>
      <c r="O110" s="255"/>
      <c r="P110" s="255"/>
      <c r="Q110" s="255"/>
      <c r="R110" s="268">
        <f t="shared" si="97"/>
        <v>288</v>
      </c>
    </row>
    <row r="111" spans="1:21" ht="13.8" x14ac:dyDescent="0.25">
      <c r="A111" s="263"/>
      <c r="B111" s="146" t="s">
        <v>375</v>
      </c>
      <c r="C111" s="226"/>
      <c r="D111" s="226"/>
      <c r="E111" s="226"/>
      <c r="F111" s="249"/>
      <c r="G111" s="249"/>
      <c r="H111" s="249"/>
      <c r="I111" s="249"/>
      <c r="J111" s="249"/>
      <c r="K111" s="249"/>
      <c r="L111" s="249">
        <v>119.99</v>
      </c>
      <c r="M111" s="211"/>
      <c r="N111" s="255"/>
      <c r="O111" s="255"/>
      <c r="P111" s="255"/>
      <c r="Q111" s="255"/>
      <c r="R111" s="268">
        <f t="shared" si="97"/>
        <v>119.99</v>
      </c>
    </row>
    <row r="112" spans="1:21" ht="13.8" x14ac:dyDescent="0.25">
      <c r="A112" s="295" t="s">
        <v>371</v>
      </c>
      <c r="B112" s="83" t="s">
        <v>389</v>
      </c>
      <c r="C112" s="226"/>
      <c r="D112" s="226"/>
      <c r="E112" s="226"/>
      <c r="F112" s="249"/>
      <c r="G112" s="249"/>
      <c r="H112" s="249"/>
      <c r="I112" s="249"/>
      <c r="J112" s="249"/>
      <c r="K112" s="249"/>
      <c r="L112" s="249"/>
      <c r="M112" s="211"/>
      <c r="O112" s="255"/>
      <c r="P112" s="255"/>
      <c r="Q112" s="255">
        <f>+N109/120*20*-1</f>
        <v>-18.166666666666668</v>
      </c>
      <c r="R112" s="268">
        <f>SUM(F112:Q112)</f>
        <v>-18.166666666666668</v>
      </c>
    </row>
    <row r="113" spans="1:23" ht="13.8" x14ac:dyDescent="0.25">
      <c r="A113" s="113" t="s">
        <v>311</v>
      </c>
      <c r="B113" s="114"/>
      <c r="C113" s="322">
        <f>+'BudgerandActual Spend 24-25'!I63</f>
        <v>3000</v>
      </c>
      <c r="D113" s="325">
        <f>SUM(D107:D111)</f>
        <v>0</v>
      </c>
      <c r="E113" s="325">
        <f>+D113+C113</f>
        <v>3000</v>
      </c>
      <c r="F113" s="219">
        <f t="shared" ref="F113" si="98">SUM(F107:F112)</f>
        <v>288</v>
      </c>
      <c r="G113" s="219">
        <f t="shared" ref="G113" si="99">SUM(G107:G112)</f>
        <v>200</v>
      </c>
      <c r="H113" s="219">
        <f t="shared" ref="H113" si="100">SUM(H107:H112)</f>
        <v>0</v>
      </c>
      <c r="I113" s="219">
        <f t="shared" ref="I113" si="101">SUM(I107:I112)</f>
        <v>0</v>
      </c>
      <c r="J113" s="219">
        <f t="shared" ref="J113" si="102">SUM(J107:J112)</f>
        <v>0</v>
      </c>
      <c r="K113" s="219">
        <f t="shared" ref="K113" si="103">SUM(K107:K112)</f>
        <v>0</v>
      </c>
      <c r="L113" s="219">
        <f t="shared" ref="L113:P113" si="104">SUM(L107:L112)</f>
        <v>119.99</v>
      </c>
      <c r="M113" s="219">
        <f t="shared" si="104"/>
        <v>0</v>
      </c>
      <c r="N113" s="278">
        <f t="shared" si="104"/>
        <v>109</v>
      </c>
      <c r="O113" s="278">
        <f t="shared" si="104"/>
        <v>650</v>
      </c>
      <c r="P113" s="278">
        <f t="shared" si="104"/>
        <v>0</v>
      </c>
      <c r="Q113" s="278">
        <f>SUM(Q107:Q112)</f>
        <v>-18.166666666666668</v>
      </c>
      <c r="R113" s="269">
        <f>SUM(F113:Q113)</f>
        <v>1348.8233333333333</v>
      </c>
      <c r="S113" s="307">
        <f>+E113-R113</f>
        <v>1651.1766666666667</v>
      </c>
      <c r="T113" s="114"/>
      <c r="U113" s="294">
        <v>2500</v>
      </c>
    </row>
    <row r="114" spans="1:23" ht="4.95" customHeight="1" x14ac:dyDescent="0.25"/>
    <row r="115" spans="1:23" ht="13.8" x14ac:dyDescent="0.25">
      <c r="A115" s="113" t="s">
        <v>197</v>
      </c>
      <c r="B115" s="114"/>
      <c r="C115" s="114"/>
      <c r="D115" s="114"/>
      <c r="E115" s="114"/>
      <c r="F115" s="212"/>
      <c r="G115" s="212"/>
      <c r="H115" s="212"/>
      <c r="I115" s="212"/>
      <c r="J115" s="212"/>
      <c r="K115" s="212"/>
      <c r="L115" s="212"/>
      <c r="M115" s="212"/>
      <c r="N115" s="212"/>
      <c r="O115" s="212"/>
      <c r="P115" s="212"/>
      <c r="Q115" s="212"/>
      <c r="R115" s="269"/>
      <c r="S115" s="212"/>
      <c r="T115" s="212"/>
      <c r="U115" s="269"/>
    </row>
    <row r="116" spans="1:23" ht="13.8" x14ac:dyDescent="0.25">
      <c r="A116" s="297"/>
      <c r="B116" s="202" t="s">
        <v>356</v>
      </c>
      <c r="C116" s="226"/>
      <c r="D116" s="226"/>
      <c r="E116" s="226"/>
      <c r="F116" s="249"/>
      <c r="G116" s="249"/>
      <c r="H116" s="249"/>
      <c r="I116" s="249"/>
      <c r="J116" s="249"/>
      <c r="K116" s="249"/>
      <c r="L116" s="288">
        <f>-5166.89-L85-L72-L69-L56-L47-L31-L19-L15-L90</f>
        <v>-28.086099999999931</v>
      </c>
      <c r="M116" s="249"/>
      <c r="N116" s="255"/>
      <c r="O116" s="255"/>
      <c r="P116" s="255"/>
      <c r="Q116" s="255"/>
      <c r="R116" s="279">
        <f t="shared" ref="R116:R117" si="105">SUM(F116:Q116)</f>
        <v>-28.086099999999931</v>
      </c>
      <c r="U116" s="299"/>
    </row>
    <row r="117" spans="1:23" ht="13.8" x14ac:dyDescent="0.25">
      <c r="A117" s="146"/>
      <c r="B117" s="68"/>
      <c r="C117" s="250"/>
      <c r="D117" s="250"/>
      <c r="E117" s="250"/>
      <c r="F117" s="251"/>
      <c r="G117" s="251"/>
      <c r="H117" s="251"/>
      <c r="I117" s="251"/>
      <c r="J117" s="251"/>
      <c r="K117" s="251"/>
      <c r="L117" s="251"/>
      <c r="M117" s="251"/>
      <c r="N117" s="256"/>
      <c r="O117" s="256"/>
      <c r="P117" s="256"/>
      <c r="Q117" s="256"/>
      <c r="R117" s="280">
        <f t="shared" si="105"/>
        <v>0</v>
      </c>
    </row>
    <row r="118" spans="1:23" ht="13.8" x14ac:dyDescent="0.25">
      <c r="A118" s="113" t="s">
        <v>312</v>
      </c>
      <c r="B118" s="114"/>
      <c r="C118" s="322">
        <f>+'BudgerandActual Spend 24-25'!I76</f>
        <v>10000</v>
      </c>
      <c r="D118" s="326">
        <f>SUM(D116:D117)</f>
        <v>0</v>
      </c>
      <c r="E118" s="323">
        <f>+D118+C118</f>
        <v>10000</v>
      </c>
      <c r="F118" s="223">
        <f t="shared" ref="F118:Q118" si="106">SUM(F116:F117)</f>
        <v>0</v>
      </c>
      <c r="G118" s="223">
        <f t="shared" si="106"/>
        <v>0</v>
      </c>
      <c r="H118" s="223">
        <f t="shared" si="106"/>
        <v>0</v>
      </c>
      <c r="I118" s="223">
        <f t="shared" si="106"/>
        <v>0</v>
      </c>
      <c r="J118" s="223">
        <f t="shared" si="106"/>
        <v>0</v>
      </c>
      <c r="K118" s="223">
        <f t="shared" si="106"/>
        <v>0</v>
      </c>
      <c r="L118" s="223">
        <f t="shared" si="106"/>
        <v>-28.086099999999931</v>
      </c>
      <c r="M118" s="223">
        <f t="shared" si="106"/>
        <v>0</v>
      </c>
      <c r="N118" s="310">
        <f t="shared" si="106"/>
        <v>0</v>
      </c>
      <c r="O118" s="310">
        <f t="shared" si="106"/>
        <v>0</v>
      </c>
      <c r="P118" s="310">
        <f t="shared" si="106"/>
        <v>0</v>
      </c>
      <c r="Q118" s="310">
        <f t="shared" si="106"/>
        <v>0</v>
      </c>
      <c r="R118" s="269">
        <f>SUM(F118:Q118)</f>
        <v>-28.086099999999931</v>
      </c>
      <c r="S118" s="307">
        <f>+E118-R118</f>
        <v>10028.0861</v>
      </c>
      <c r="T118" s="114"/>
      <c r="U118" s="199">
        <v>10500</v>
      </c>
    </row>
    <row r="119" spans="1:23" ht="4.95" customHeight="1" x14ac:dyDescent="0.25"/>
    <row r="120" spans="1:23" ht="13.8" x14ac:dyDescent="0.25">
      <c r="A120" s="206" t="s">
        <v>323</v>
      </c>
      <c r="B120" s="203"/>
      <c r="C120" s="203"/>
      <c r="D120" s="203"/>
      <c r="E120" s="203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70"/>
      <c r="S120" s="220"/>
      <c r="T120" s="220"/>
      <c r="U120" s="270"/>
    </row>
    <row r="121" spans="1:23" ht="13.8" x14ac:dyDescent="0.25">
      <c r="A121" s="302"/>
      <c r="B121" s="147" t="s">
        <v>354</v>
      </c>
      <c r="C121" s="226"/>
      <c r="D121" s="226"/>
      <c r="E121" s="226"/>
      <c r="F121" s="249"/>
      <c r="G121" s="249"/>
      <c r="H121" s="249"/>
      <c r="I121" s="249"/>
      <c r="J121" s="249"/>
      <c r="K121" s="249"/>
      <c r="L121" s="249"/>
      <c r="M121" s="249"/>
      <c r="N121" s="255"/>
      <c r="O121" s="255"/>
      <c r="P121" s="255"/>
      <c r="Q121" s="255"/>
      <c r="R121" s="279">
        <f t="shared" ref="R121" si="107">SUM(F121:Q121)</f>
        <v>0</v>
      </c>
      <c r="U121" s="299">
        <v>6000</v>
      </c>
    </row>
    <row r="122" spans="1:23" ht="13.8" x14ac:dyDescent="0.25">
      <c r="A122" s="302"/>
      <c r="B122" s="147" t="s">
        <v>355</v>
      </c>
      <c r="C122" s="226"/>
      <c r="D122" s="226"/>
      <c r="E122" s="226"/>
      <c r="F122" s="249"/>
      <c r="G122" s="249"/>
      <c r="H122" s="249"/>
      <c r="I122" s="249"/>
      <c r="J122" s="249"/>
      <c r="K122" s="249"/>
      <c r="L122" s="304">
        <v>27.89</v>
      </c>
      <c r="M122" s="249"/>
      <c r="N122" s="255"/>
      <c r="O122" s="255"/>
      <c r="P122" s="255"/>
      <c r="Q122" s="255"/>
      <c r="R122" s="268">
        <f t="shared" ref="R122" si="108">SUM(F122:Q122)</f>
        <v>27.89</v>
      </c>
      <c r="U122" s="12">
        <v>8250</v>
      </c>
    </row>
    <row r="123" spans="1:23" ht="13.8" x14ac:dyDescent="0.25">
      <c r="A123" s="266" t="s">
        <v>313</v>
      </c>
      <c r="B123" s="198"/>
      <c r="C123" s="322">
        <f>+'BudgerandActual Spend 24-25'!I80</f>
        <v>5000</v>
      </c>
      <c r="D123" s="324">
        <f t="shared" ref="D123" si="109">SUM(D122:D122)</f>
        <v>0</v>
      </c>
      <c r="E123" s="323">
        <f>+D123+C123</f>
        <v>5000</v>
      </c>
      <c r="F123" s="212">
        <f t="shared" ref="F123:I123" si="110">SUM(F121:F122)</f>
        <v>0</v>
      </c>
      <c r="G123" s="212">
        <f t="shared" si="110"/>
        <v>0</v>
      </c>
      <c r="H123" s="212">
        <f t="shared" si="110"/>
        <v>0</v>
      </c>
      <c r="I123" s="212">
        <f t="shared" si="110"/>
        <v>0</v>
      </c>
      <c r="J123" s="212">
        <f>SUM(J121:J122)</f>
        <v>0</v>
      </c>
      <c r="K123" s="212">
        <f t="shared" ref="K123:M123" si="111">SUM(K121:K122)</f>
        <v>0</v>
      </c>
      <c r="L123" s="212">
        <f t="shared" si="111"/>
        <v>27.89</v>
      </c>
      <c r="M123" s="212">
        <f t="shared" si="111"/>
        <v>0</v>
      </c>
      <c r="N123" s="311">
        <f t="shared" ref="N123" si="112">SUM(N121:N122)</f>
        <v>0</v>
      </c>
      <c r="O123" s="311">
        <f t="shared" ref="O123" si="113">SUM(O121:O122)</f>
        <v>0</v>
      </c>
      <c r="P123" s="311">
        <f t="shared" ref="P123" si="114">SUM(P121:P122)</f>
        <v>0</v>
      </c>
      <c r="Q123" s="311">
        <f t="shared" ref="Q123" si="115">SUM(Q121:Q122)</f>
        <v>0</v>
      </c>
      <c r="R123" s="269">
        <f>SUM(F123:Q123)</f>
        <v>27.89</v>
      </c>
      <c r="S123" s="307">
        <f>+E123-R123</f>
        <v>4972.1099999999997</v>
      </c>
      <c r="T123" s="114"/>
      <c r="U123" s="199">
        <f>SUM(U121:U122)</f>
        <v>14250</v>
      </c>
    </row>
    <row r="124" spans="1:23" ht="4.95" customHeight="1" x14ac:dyDescent="0.25">
      <c r="S124" s="12"/>
      <c r="T124" s="12"/>
      <c r="V124" s="12"/>
      <c r="W124" s="12"/>
    </row>
    <row r="125" spans="1:23" ht="13.8" x14ac:dyDescent="0.25">
      <c r="A125" s="113" t="s">
        <v>307</v>
      </c>
      <c r="B125" s="114"/>
      <c r="C125" s="114"/>
      <c r="D125" s="114"/>
      <c r="E125" s="114"/>
      <c r="F125" s="212"/>
      <c r="G125" s="212"/>
      <c r="H125" s="212"/>
      <c r="I125" s="212"/>
      <c r="J125" s="212"/>
      <c r="K125" s="212"/>
      <c r="L125" s="212"/>
      <c r="M125" s="212"/>
      <c r="N125" s="212"/>
      <c r="O125" s="212"/>
      <c r="P125" s="212"/>
      <c r="Q125" s="212"/>
      <c r="R125" s="269"/>
      <c r="S125" s="212"/>
      <c r="T125" s="212"/>
      <c r="U125" s="269"/>
    </row>
    <row r="126" spans="1:23" ht="13.8" x14ac:dyDescent="0.25">
      <c r="A126" s="298"/>
      <c r="B126" s="147" t="s">
        <v>377</v>
      </c>
      <c r="C126" s="226"/>
      <c r="D126" s="226"/>
      <c r="E126" s="226">
        <v>0</v>
      </c>
      <c r="F126" s="249">
        <v>0</v>
      </c>
      <c r="G126" s="249">
        <v>0</v>
      </c>
      <c r="H126" s="249">
        <v>0</v>
      </c>
      <c r="I126" s="249">
        <v>0</v>
      </c>
      <c r="J126" s="249">
        <v>0</v>
      </c>
      <c r="K126" s="249"/>
      <c r="L126" s="249"/>
      <c r="M126" s="249"/>
      <c r="N126" s="255"/>
      <c r="O126" s="255"/>
      <c r="P126" s="255"/>
      <c r="Q126" s="255"/>
      <c r="R126" s="268">
        <f>SUM(F126:Q126)</f>
        <v>0</v>
      </c>
    </row>
    <row r="127" spans="1:23" ht="13.8" x14ac:dyDescent="0.25">
      <c r="A127" s="298"/>
      <c r="B127" s="147" t="s">
        <v>376</v>
      </c>
      <c r="C127" s="226"/>
      <c r="D127" s="226"/>
      <c r="E127" s="226"/>
      <c r="F127" s="249"/>
      <c r="G127" s="249"/>
      <c r="H127" s="249"/>
      <c r="I127" s="249"/>
      <c r="J127" s="249"/>
      <c r="K127" s="249"/>
      <c r="L127" s="249"/>
      <c r="M127" s="249"/>
      <c r="N127" s="255"/>
      <c r="O127" s="255"/>
      <c r="P127" s="255"/>
      <c r="Q127" s="255"/>
      <c r="R127" s="268">
        <f t="shared" ref="R127:R128" si="116">SUM(F127:Q127)</f>
        <v>0</v>
      </c>
    </row>
    <row r="128" spans="1:23" ht="13.8" x14ac:dyDescent="0.25">
      <c r="A128" s="209"/>
      <c r="B128" s="305" t="s">
        <v>382</v>
      </c>
      <c r="C128" s="226"/>
      <c r="D128" s="226"/>
      <c r="E128" s="226"/>
      <c r="F128" s="249"/>
      <c r="G128" s="249"/>
      <c r="H128" s="249"/>
      <c r="I128" s="249"/>
      <c r="J128" s="249">
        <v>38.71</v>
      </c>
      <c r="K128" s="249"/>
      <c r="L128" s="249"/>
      <c r="M128" s="249"/>
      <c r="N128" s="255"/>
      <c r="O128" s="255"/>
      <c r="P128" s="255"/>
      <c r="Q128" s="255"/>
      <c r="R128" s="268">
        <f t="shared" si="116"/>
        <v>38.71</v>
      </c>
    </row>
    <row r="129" spans="1:21" ht="13.8" x14ac:dyDescent="0.25">
      <c r="A129" s="266" t="s">
        <v>314</v>
      </c>
      <c r="B129" s="198"/>
      <c r="C129" s="322">
        <v>0</v>
      </c>
      <c r="D129" s="322">
        <v>0</v>
      </c>
      <c r="E129" s="323">
        <f>+D129+C129</f>
        <v>0</v>
      </c>
      <c r="F129" s="212">
        <f t="shared" ref="F129:Q129" si="117">SUM(F126:F128)</f>
        <v>0</v>
      </c>
      <c r="G129" s="212">
        <f t="shared" si="117"/>
        <v>0</v>
      </c>
      <c r="H129" s="212">
        <f t="shared" si="117"/>
        <v>0</v>
      </c>
      <c r="I129" s="212">
        <f t="shared" si="117"/>
        <v>0</v>
      </c>
      <c r="J129" s="212">
        <f t="shared" si="117"/>
        <v>38.71</v>
      </c>
      <c r="K129" s="212">
        <f t="shared" si="117"/>
        <v>0</v>
      </c>
      <c r="L129" s="212">
        <f t="shared" si="117"/>
        <v>0</v>
      </c>
      <c r="M129" s="212">
        <f t="shared" si="117"/>
        <v>0</v>
      </c>
      <c r="N129" s="311">
        <f t="shared" si="117"/>
        <v>0</v>
      </c>
      <c r="O129" s="311">
        <f t="shared" si="117"/>
        <v>0</v>
      </c>
      <c r="P129" s="311">
        <f t="shared" si="117"/>
        <v>0</v>
      </c>
      <c r="Q129" s="311">
        <f t="shared" si="117"/>
        <v>0</v>
      </c>
      <c r="R129" s="269">
        <f>SUM(F129:Q129)</f>
        <v>38.71</v>
      </c>
      <c r="S129" s="114">
        <f>+E129-R129</f>
        <v>-38.71</v>
      </c>
      <c r="T129" s="114"/>
      <c r="U129" s="199">
        <v>40</v>
      </c>
    </row>
    <row r="130" spans="1:21" ht="3.6" customHeight="1" x14ac:dyDescent="0.25"/>
    <row r="131" spans="1:21" x14ac:dyDescent="0.25">
      <c r="A131" s="15" t="s">
        <v>244</v>
      </c>
      <c r="C131" s="327">
        <f t="shared" ref="C131:S131" si="118">+C123+C118+C113+C104+C97+C92+C74+C52-C129</f>
        <v>81360.2</v>
      </c>
      <c r="D131" s="327">
        <f t="shared" si="118"/>
        <v>1825.1</v>
      </c>
      <c r="E131" s="327">
        <f t="shared" si="118"/>
        <v>83185.3</v>
      </c>
      <c r="F131" s="252">
        <f t="shared" si="118"/>
        <v>2404.29</v>
      </c>
      <c r="G131" s="252">
        <f t="shared" si="118"/>
        <v>15595.7</v>
      </c>
      <c r="H131" s="211">
        <f t="shared" si="118"/>
        <v>1386.1599999999999</v>
      </c>
      <c r="I131" s="252">
        <f t="shared" si="118"/>
        <v>19307.739999999998</v>
      </c>
      <c r="J131" s="211">
        <f t="shared" si="118"/>
        <v>6320.87</v>
      </c>
      <c r="K131" s="252">
        <f t="shared" si="118"/>
        <v>1588.58</v>
      </c>
      <c r="L131" s="252">
        <f t="shared" si="118"/>
        <v>-1549.5940000000003</v>
      </c>
      <c r="M131" s="252">
        <f t="shared" si="118"/>
        <v>2624.31</v>
      </c>
      <c r="N131" s="265">
        <f t="shared" si="118"/>
        <v>3268.5</v>
      </c>
      <c r="O131" s="265">
        <f t="shared" si="118"/>
        <v>3405.5</v>
      </c>
      <c r="P131" s="265">
        <f t="shared" si="118"/>
        <v>3132.5</v>
      </c>
      <c r="Q131" s="265">
        <f t="shared" si="118"/>
        <v>3280.5098733333334</v>
      </c>
      <c r="R131" s="315">
        <f t="shared" si="118"/>
        <v>60765.065873333333</v>
      </c>
      <c r="S131" s="283">
        <f t="shared" si="118"/>
        <v>22420.234126666674</v>
      </c>
      <c r="T131" s="15"/>
      <c r="U131" s="271">
        <f>+U123+U118+U113+U104+U97+U92+U74+U52-U129</f>
        <v>82063</v>
      </c>
    </row>
    <row r="132" spans="1:21" x14ac:dyDescent="0.25">
      <c r="S132" s="210"/>
    </row>
    <row r="133" spans="1:21" x14ac:dyDescent="0.25">
      <c r="A133" t="s">
        <v>380</v>
      </c>
      <c r="F133" s="210">
        <v>27380</v>
      </c>
      <c r="L133" s="243">
        <v>27380</v>
      </c>
    </row>
    <row r="134" spans="1:21" x14ac:dyDescent="0.25">
      <c r="A134" s="15" t="s">
        <v>387</v>
      </c>
      <c r="C134" s="243"/>
      <c r="D134" s="243"/>
      <c r="E134" s="243"/>
      <c r="F134" s="243">
        <v>58767.9</v>
      </c>
      <c r="G134" s="243">
        <v>43172.2</v>
      </c>
      <c r="H134" s="243">
        <v>41786.04</v>
      </c>
      <c r="I134" s="243">
        <v>22478.3</v>
      </c>
      <c r="J134" s="243">
        <v>16157.43</v>
      </c>
      <c r="K134" s="243">
        <v>14568.85</v>
      </c>
      <c r="L134" s="243">
        <v>43504.42</v>
      </c>
      <c r="M134" s="243"/>
      <c r="N134" s="243"/>
      <c r="O134" s="243"/>
      <c r="P134" s="243"/>
      <c r="Q134" s="243"/>
      <c r="R134" s="271"/>
      <c r="S134" s="243"/>
    </row>
    <row r="135" spans="1:21" outlineLevel="1" x14ac:dyDescent="0.25"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71"/>
      <c r="S135" s="243"/>
    </row>
    <row r="136" spans="1:21" outlineLevel="1" x14ac:dyDescent="0.25">
      <c r="B136" s="15"/>
    </row>
    <row r="137" spans="1:21" x14ac:dyDescent="0.25">
      <c r="A137" s="15" t="s">
        <v>388</v>
      </c>
      <c r="B137" s="15"/>
      <c r="F137" s="258">
        <f>+F131</f>
        <v>2404.29</v>
      </c>
      <c r="G137" s="211">
        <f>+F134-G134</f>
        <v>15595.700000000004</v>
      </c>
      <c r="H137" s="211">
        <f>+G134-H134</f>
        <v>1386.1599999999962</v>
      </c>
      <c r="I137" s="252">
        <f>+H134-I134</f>
        <v>19307.740000000002</v>
      </c>
      <c r="J137" s="252">
        <f>+I134-J134</f>
        <v>6320.869999999999</v>
      </c>
      <c r="K137" s="252">
        <f>+J134-K134</f>
        <v>1588.58</v>
      </c>
      <c r="L137" s="252">
        <f>+K134-L134+L133</f>
        <v>-1555.5699999999997</v>
      </c>
    </row>
    <row r="138" spans="1:21" s="49" customFormat="1" ht="15.6" x14ac:dyDescent="0.25">
      <c r="A138" s="282" t="s">
        <v>183</v>
      </c>
      <c r="B138" s="62"/>
      <c r="C138" s="61"/>
      <c r="D138" s="61"/>
      <c r="E138" s="61"/>
      <c r="K138" s="61"/>
      <c r="L138" s="61"/>
      <c r="M138" s="61"/>
      <c r="N138" s="61"/>
      <c r="O138" s="63"/>
      <c r="P138" s="64"/>
      <c r="Q138" s="61"/>
      <c r="R138" s="63"/>
    </row>
    <row r="139" spans="1:21" s="77" customFormat="1" ht="13.8" x14ac:dyDescent="0.25">
      <c r="A139" s="155"/>
      <c r="B139" s="156"/>
      <c r="C139" s="157"/>
      <c r="D139" s="157"/>
      <c r="E139" s="281" t="s">
        <v>234</v>
      </c>
      <c r="K139" s="157"/>
      <c r="L139" s="158" t="s">
        <v>170</v>
      </c>
      <c r="M139" s="158"/>
      <c r="N139" s="158" t="s">
        <v>122</v>
      </c>
      <c r="O139" s="157"/>
      <c r="P139" s="159"/>
      <c r="Q139" s="157"/>
      <c r="R139" s="72"/>
    </row>
    <row r="140" spans="1:21" s="77" customFormat="1" ht="13.8" x14ac:dyDescent="0.25">
      <c r="A140" s="160" t="s">
        <v>169</v>
      </c>
      <c r="B140" s="161"/>
      <c r="C140" s="162"/>
      <c r="D140" s="162"/>
      <c r="E140" s="162"/>
      <c r="K140" s="162"/>
      <c r="L140" s="163">
        <v>49835.08</v>
      </c>
      <c r="M140" s="164"/>
      <c r="N140" s="164">
        <v>61.72</v>
      </c>
      <c r="O140" s="162"/>
      <c r="P140" s="165"/>
      <c r="Q140" s="162"/>
      <c r="R140" s="73"/>
    </row>
    <row r="141" spans="1:21" s="77" customFormat="1" ht="13.8" x14ac:dyDescent="0.25">
      <c r="A141" s="166"/>
      <c r="B141" s="161"/>
      <c r="C141" s="162"/>
      <c r="D141" s="162"/>
      <c r="E141" s="162"/>
      <c r="K141" s="162"/>
      <c r="L141" s="167"/>
      <c r="M141" s="162"/>
      <c r="N141" s="162"/>
      <c r="O141" s="162"/>
      <c r="P141" s="167"/>
      <c r="Q141" s="162"/>
      <c r="R141" s="73"/>
    </row>
    <row r="142" spans="1:21" s="77" customFormat="1" ht="13.8" x14ac:dyDescent="0.25">
      <c r="A142" s="160" t="s">
        <v>320</v>
      </c>
      <c r="B142" s="161"/>
      <c r="C142" s="162"/>
      <c r="D142" s="162"/>
      <c r="E142" s="162">
        <v>81812</v>
      </c>
      <c r="K142" s="162"/>
      <c r="L142" s="186">
        <v>54760</v>
      </c>
      <c r="M142" s="164"/>
      <c r="N142" s="173">
        <v>68.05</v>
      </c>
      <c r="O142" s="162"/>
      <c r="P142" s="167"/>
      <c r="Q142" s="162"/>
      <c r="R142" s="73"/>
    </row>
    <row r="143" spans="1:21" s="77" customFormat="1" ht="13.8" x14ac:dyDescent="0.25">
      <c r="A143" s="160"/>
      <c r="B143" s="161"/>
      <c r="C143" s="162"/>
      <c r="D143" s="162"/>
      <c r="E143" s="162"/>
      <c r="K143" s="162"/>
      <c r="L143" s="167"/>
      <c r="M143" s="162"/>
      <c r="N143" s="162"/>
      <c r="O143" s="162"/>
      <c r="P143" s="167"/>
      <c r="Q143" s="162"/>
      <c r="R143" s="73"/>
    </row>
    <row r="144" spans="1:21" s="77" customFormat="1" ht="13.8" x14ac:dyDescent="0.25">
      <c r="A144" s="160" t="s">
        <v>321</v>
      </c>
      <c r="B144" s="162"/>
      <c r="C144" s="168"/>
      <c r="D144" s="162"/>
      <c r="E144" s="162"/>
      <c r="K144" s="162"/>
      <c r="L144" s="169" t="s">
        <v>126</v>
      </c>
      <c r="M144" s="170"/>
      <c r="N144" s="170" t="s">
        <v>127</v>
      </c>
      <c r="O144" s="162"/>
      <c r="P144" s="167"/>
      <c r="Q144" s="162"/>
      <c r="R144" s="73"/>
    </row>
    <row r="145" spans="1:18" s="77" customFormat="1" x14ac:dyDescent="0.25">
      <c r="A145" s="171" t="s">
        <v>108</v>
      </c>
      <c r="B145" s="162"/>
      <c r="C145" s="162"/>
      <c r="D145" s="162"/>
      <c r="E145" s="162"/>
      <c r="K145" s="162"/>
      <c r="L145" s="172">
        <f>+U131</f>
        <v>82063</v>
      </c>
      <c r="M145" s="162"/>
      <c r="N145" s="162"/>
      <c r="O145" s="162"/>
      <c r="P145" s="167"/>
      <c r="Q145" s="162"/>
      <c r="R145" s="73"/>
    </row>
    <row r="146" spans="1:18" s="77" customFormat="1" x14ac:dyDescent="0.25">
      <c r="A146" s="171" t="s">
        <v>322</v>
      </c>
      <c r="B146" s="162"/>
      <c r="C146" s="162"/>
      <c r="D146" s="162"/>
      <c r="E146" s="162"/>
      <c r="K146" s="162"/>
      <c r="L146" s="172">
        <f>+S131</f>
        <v>22420.234126666674</v>
      </c>
      <c r="M146" s="162"/>
      <c r="N146" s="162"/>
      <c r="O146" s="162"/>
      <c r="P146" s="167"/>
      <c r="Q146" s="162"/>
      <c r="R146" s="73"/>
    </row>
    <row r="147" spans="1:18" s="77" customFormat="1" x14ac:dyDescent="0.25">
      <c r="A147" s="171" t="s">
        <v>107</v>
      </c>
      <c r="B147" s="162"/>
      <c r="C147" s="162"/>
      <c r="D147" s="162"/>
      <c r="E147" s="162"/>
      <c r="K147" s="162"/>
      <c r="L147" s="163">
        <f>+L145-L146</f>
        <v>59642.765873333323</v>
      </c>
      <c r="M147" s="164"/>
      <c r="N147" s="173">
        <f>+N142/L142*L147</f>
        <v>74.117790680794968</v>
      </c>
      <c r="O147" s="162"/>
      <c r="P147" s="167"/>
      <c r="Q147" s="162"/>
      <c r="R147" s="73"/>
    </row>
    <row r="148" spans="1:18" s="77" customFormat="1" x14ac:dyDescent="0.25">
      <c r="A148" s="171" t="s">
        <v>25</v>
      </c>
      <c r="B148" s="162"/>
      <c r="C148" s="162"/>
      <c r="D148" s="162"/>
      <c r="E148" s="162"/>
      <c r="K148" s="162"/>
      <c r="L148" s="167"/>
      <c r="M148" s="162"/>
      <c r="N148" s="168"/>
      <c r="O148" s="162"/>
      <c r="P148" s="167"/>
      <c r="Q148" s="162"/>
      <c r="R148" s="73"/>
    </row>
    <row r="149" spans="1:18" s="77" customFormat="1" x14ac:dyDescent="0.25">
      <c r="A149" s="171"/>
      <c r="B149" s="162"/>
      <c r="C149" s="162"/>
      <c r="D149" s="162"/>
      <c r="E149" s="162"/>
      <c r="K149" s="162"/>
      <c r="L149" s="169" t="s">
        <v>126</v>
      </c>
      <c r="M149" s="170"/>
      <c r="N149" s="170" t="s">
        <v>127</v>
      </c>
      <c r="O149" s="170"/>
      <c r="P149" s="169" t="s">
        <v>172</v>
      </c>
      <c r="Q149" s="162"/>
      <c r="R149" s="73"/>
    </row>
    <row r="150" spans="1:18" s="77" customFormat="1" x14ac:dyDescent="0.25">
      <c r="A150" s="171" t="s">
        <v>173</v>
      </c>
      <c r="B150" s="162"/>
      <c r="C150" s="162"/>
      <c r="D150" s="162"/>
      <c r="E150" s="162"/>
      <c r="K150" s="162"/>
      <c r="L150" s="163">
        <f>+L147-L142</f>
        <v>4882.7658733333228</v>
      </c>
      <c r="M150" s="164"/>
      <c r="N150" s="173">
        <f>+N147-N142</f>
        <v>6.0677906807949711</v>
      </c>
      <c r="O150" s="162"/>
      <c r="P150" s="174">
        <f>+N150/N142%</f>
        <v>8.9166652179206043</v>
      </c>
      <c r="Q150" s="162"/>
      <c r="R150" s="73"/>
    </row>
    <row r="151" spans="1:18" s="77" customFormat="1" ht="7.8" hidden="1" customHeight="1" x14ac:dyDescent="0.25">
      <c r="A151" s="175" t="s">
        <v>167</v>
      </c>
      <c r="P151" s="93"/>
      <c r="R151" s="73"/>
    </row>
    <row r="152" spans="1:18" s="77" customFormat="1" ht="13.8" hidden="1" x14ac:dyDescent="0.25">
      <c r="A152" s="176" t="s">
        <v>168</v>
      </c>
      <c r="B152" s="150"/>
      <c r="L152" s="78" t="s">
        <v>126</v>
      </c>
      <c r="N152" s="78" t="s">
        <v>122</v>
      </c>
      <c r="P152" s="93"/>
      <c r="R152" s="73"/>
    </row>
    <row r="153" spans="1:18" s="77" customFormat="1" ht="13.8" hidden="1" x14ac:dyDescent="0.25">
      <c r="A153" s="177" t="s">
        <v>65</v>
      </c>
      <c r="B153" s="150"/>
      <c r="L153" s="178">
        <v>49835.08</v>
      </c>
      <c r="N153" s="77">
        <v>61.72</v>
      </c>
      <c r="P153" s="93"/>
      <c r="R153" s="73"/>
    </row>
    <row r="154" spans="1:18" s="77" customFormat="1" ht="13.8" hidden="1" x14ac:dyDescent="0.25">
      <c r="A154" s="177" t="s">
        <v>66</v>
      </c>
      <c r="B154" s="150"/>
      <c r="L154" s="178">
        <v>515.83000000000004</v>
      </c>
      <c r="P154" s="93"/>
      <c r="R154" s="73"/>
    </row>
    <row r="155" spans="1:18" s="77" customFormat="1" ht="13.8" hidden="1" x14ac:dyDescent="0.25">
      <c r="A155" s="177" t="s">
        <v>68</v>
      </c>
      <c r="L155" s="178">
        <v>340</v>
      </c>
      <c r="P155" s="93"/>
      <c r="R155" s="73"/>
    </row>
    <row r="156" spans="1:18" s="77" customFormat="1" ht="7.2" hidden="1" customHeight="1" x14ac:dyDescent="0.25">
      <c r="A156" s="177" t="s">
        <v>67</v>
      </c>
      <c r="L156" s="179">
        <v>38.71</v>
      </c>
      <c r="P156" s="93"/>
      <c r="R156" s="73"/>
    </row>
    <row r="157" spans="1:18" s="77" customFormat="1" ht="12" hidden="1" customHeight="1" x14ac:dyDescent="0.25">
      <c r="A157" s="180"/>
      <c r="L157" s="178">
        <f>SUM(L153:L156)</f>
        <v>50729.62</v>
      </c>
      <c r="P157" s="93"/>
      <c r="R157" s="73"/>
    </row>
    <row r="158" spans="1:18" s="77" customFormat="1" x14ac:dyDescent="0.25">
      <c r="A158" s="181"/>
      <c r="B158" s="182"/>
      <c r="C158" s="182"/>
      <c r="D158" s="182"/>
      <c r="E158" s="182"/>
      <c r="K158" s="182"/>
      <c r="L158" s="182"/>
      <c r="M158" s="182"/>
      <c r="N158" s="182"/>
      <c r="O158" s="182"/>
      <c r="P158" s="183"/>
      <c r="Q158" s="182"/>
      <c r="R158" s="74"/>
    </row>
    <row r="159" spans="1:18" x14ac:dyDescent="0.25">
      <c r="C159">
        <f>+E142</f>
        <v>81812</v>
      </c>
      <c r="D159" s="284">
        <f>+L145</f>
        <v>82063</v>
      </c>
      <c r="E159" s="284">
        <f>+D159-C159</f>
        <v>251</v>
      </c>
    </row>
    <row r="160" spans="1:18" x14ac:dyDescent="0.25">
      <c r="A160" s="15" t="s">
        <v>384</v>
      </c>
      <c r="D160" s="284"/>
    </row>
    <row r="161" spans="1:5" x14ac:dyDescent="0.25">
      <c r="C161" s="210"/>
      <c r="D161" s="210"/>
      <c r="E161" s="210"/>
    </row>
    <row r="163" spans="1:5" x14ac:dyDescent="0.25">
      <c r="A163" t="s">
        <v>357</v>
      </c>
    </row>
  </sheetData>
  <sortState xmlns:xlrd2="http://schemas.microsoft.com/office/spreadsheetml/2017/richdata2" ref="A4:B51">
    <sortCondition ref="A4:A51"/>
  </sortState>
  <mergeCells count="2">
    <mergeCell ref="A54:B54"/>
    <mergeCell ref="A76:B76"/>
  </mergeCells>
  <phoneticPr fontId="37" type="noConversion"/>
  <conditionalFormatting sqref="S2 S4:S51 S53 S55:S73 A71:Q71 A72:K72 M72:P72 A73:E73 A75:S75 A77:S81 B82:R83 A83 A84:S84 A85:J86 S85:S86 A87:S89 A90:J91 S90:S91 A93:S93 S100:S103 S105:U105 S107:U112 S114:U114 S116:U117 S119:U119 S126:S128 S130 S132:S1048576">
    <cfRule type="cellIs" dxfId="16" priority="21" operator="lessThan">
      <formula>0</formula>
    </cfRule>
  </conditionalFormatting>
  <conditionalFormatting sqref="S83">
    <cfRule type="cellIs" dxfId="15" priority="2" operator="lessThan">
      <formula>0</formula>
    </cfRule>
  </conditionalFormatting>
  <conditionalFormatting sqref="S95:U95 S96:T96 S98:U98">
    <cfRule type="cellIs" dxfId="14" priority="20" operator="lessThan">
      <formula>0</formula>
    </cfRule>
  </conditionalFormatting>
  <conditionalFormatting sqref="S121:U122">
    <cfRule type="cellIs" dxfId="13" priority="1" operator="lessThan">
      <formula>0</formula>
    </cfRule>
  </conditionalFormatting>
  <conditionalFormatting sqref="T82:T83">
    <cfRule type="cellIs" dxfId="12" priority="6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>
    <oddFooter>Page &amp;P of &amp;N</oddFooter>
  </headerFooter>
  <ignoredErrors>
    <ignoredError sqref="R126" formulaRange="1"/>
    <ignoredError sqref="E118" formula="1"/>
  </ignoredError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675F-186E-4709-A41C-D7F94262DAF5}">
  <sheetPr>
    <tabColor theme="0" tint="-0.14999847407452621"/>
    <pageSetUpPr fitToPage="1"/>
  </sheetPr>
  <dimension ref="A1:Y165"/>
  <sheetViews>
    <sheetView showGridLines="0" zoomScale="92" zoomScaleNormal="90" workbookViewId="0">
      <pane xSplit="2" ySplit="2" topLeftCell="C98" activePane="bottomRight" state="frozenSplit"/>
      <selection pane="topRight" activeCell="J1" sqref="J1"/>
      <selection pane="bottomLeft" activeCell="A6" sqref="A6"/>
      <selection pane="bottomRight" activeCell="I102" sqref="I102"/>
    </sheetView>
  </sheetViews>
  <sheetFormatPr defaultRowHeight="13.2" outlineLevelRow="1" outlineLevelCol="1" x14ac:dyDescent="0.25"/>
  <cols>
    <col min="1" max="1" width="4.44140625" customWidth="1"/>
    <col min="2" max="2" width="40.21875" customWidth="1"/>
    <col min="3" max="3" width="8.5546875" customWidth="1"/>
    <col min="4" max="4" width="6.88671875" customWidth="1" outlineLevel="1"/>
    <col min="5" max="5" width="7.88671875" customWidth="1"/>
    <col min="6" max="6" width="7.6640625" style="210" customWidth="1" outlineLevel="1"/>
    <col min="7" max="7" width="6.88671875" style="210" customWidth="1" outlineLevel="1"/>
    <col min="8" max="8" width="7.5546875" style="210" customWidth="1" outlineLevel="1"/>
    <col min="9" max="9" width="8.6640625" style="210" customWidth="1" outlineLevel="1"/>
    <col min="10" max="10" width="6.88671875" style="210" customWidth="1" outlineLevel="1"/>
    <col min="11" max="11" width="6.44140625" style="210" customWidth="1"/>
    <col min="12" max="12" width="7.6640625" style="210" customWidth="1"/>
    <col min="13" max="13" width="7" style="210" customWidth="1"/>
    <col min="14" max="15" width="6.44140625" style="210" customWidth="1"/>
    <col min="16" max="16" width="6.88671875" style="210" customWidth="1"/>
    <col min="17" max="17" width="7" style="210" customWidth="1"/>
    <col min="18" max="18" width="8.88671875" style="12"/>
    <col min="19" max="19" width="8.33203125" customWidth="1"/>
    <col min="20" max="20" width="3.5546875" customWidth="1"/>
    <col min="21" max="21" width="8.44140625" style="12" customWidth="1"/>
  </cols>
  <sheetData>
    <row r="1" spans="1:25" ht="3.6" customHeight="1" x14ac:dyDescent="0.25">
      <c r="F1" s="210" t="s">
        <v>306</v>
      </c>
      <c r="G1" s="210" t="s">
        <v>306</v>
      </c>
      <c r="H1" s="210" t="s">
        <v>306</v>
      </c>
    </row>
    <row r="2" spans="1:25" s="49" customFormat="1" ht="37.799999999999997" customHeight="1" x14ac:dyDescent="0.25">
      <c r="A2" s="316" t="s">
        <v>290</v>
      </c>
      <c r="B2" s="317"/>
      <c r="C2" s="69" t="s">
        <v>234</v>
      </c>
      <c r="D2" s="69" t="s">
        <v>285</v>
      </c>
      <c r="E2" s="69" t="s">
        <v>271</v>
      </c>
      <c r="F2" s="309" t="s">
        <v>235</v>
      </c>
      <c r="G2" s="309" t="s">
        <v>236</v>
      </c>
      <c r="H2" s="309" t="s">
        <v>246</v>
      </c>
      <c r="I2" s="309" t="s">
        <v>251</v>
      </c>
      <c r="J2" s="309" t="s">
        <v>250</v>
      </c>
      <c r="K2" s="309" t="s">
        <v>252</v>
      </c>
      <c r="L2" s="309" t="s">
        <v>253</v>
      </c>
      <c r="M2" s="245" t="s">
        <v>254</v>
      </c>
      <c r="N2" s="245" t="s">
        <v>255</v>
      </c>
      <c r="O2" s="245" t="s">
        <v>256</v>
      </c>
      <c r="P2" s="245" t="s">
        <v>257</v>
      </c>
      <c r="Q2" s="245" t="s">
        <v>258</v>
      </c>
      <c r="R2" s="267" t="s">
        <v>126</v>
      </c>
      <c r="S2" s="245" t="s">
        <v>318</v>
      </c>
      <c r="U2" s="47" t="s">
        <v>304</v>
      </c>
      <c r="V2" s="49" t="s">
        <v>351</v>
      </c>
      <c r="W2" s="286">
        <v>1.04</v>
      </c>
      <c r="X2" s="330">
        <f>+P152</f>
        <v>23.718075006087165</v>
      </c>
      <c r="Y2" s="289"/>
    </row>
    <row r="3" spans="1:25" ht="13.8" x14ac:dyDescent="0.25">
      <c r="A3" s="132" t="s">
        <v>308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5" ht="13.8" x14ac:dyDescent="0.25">
      <c r="A4" s="15" t="s">
        <v>281</v>
      </c>
      <c r="B4" s="83" t="s">
        <v>286</v>
      </c>
      <c r="F4" s="306">
        <v>716.16</v>
      </c>
      <c r="G4" s="211">
        <v>732.88</v>
      </c>
      <c r="H4" s="211">
        <v>708.16</v>
      </c>
      <c r="I4" s="211">
        <v>753.12</v>
      </c>
      <c r="J4" s="211">
        <v>803.08</v>
      </c>
      <c r="K4" s="211">
        <f>839.48+26</f>
        <v>865.48</v>
      </c>
      <c r="L4" s="211">
        <v>772.4</v>
      </c>
      <c r="M4" s="211">
        <v>772.4</v>
      </c>
      <c r="N4" s="210">
        <f t="shared" ref="M4:Q5" si="0">+M4</f>
        <v>772.4</v>
      </c>
      <c r="O4" s="210">
        <f t="shared" si="0"/>
        <v>772.4</v>
      </c>
      <c r="P4" s="210">
        <f t="shared" si="0"/>
        <v>772.4</v>
      </c>
      <c r="Q4" s="210">
        <f t="shared" si="0"/>
        <v>772.4</v>
      </c>
      <c r="R4" s="268">
        <f>SUM(F4:Q4)</f>
        <v>9213.279999999997</v>
      </c>
    </row>
    <row r="5" spans="1:25" ht="13.8" x14ac:dyDescent="0.25">
      <c r="A5" s="246"/>
      <c r="B5" s="230" t="s">
        <v>325</v>
      </c>
      <c r="C5" s="318">
        <f>+'BudgerandActual Spend 24-25'!I5</f>
        <v>11092.2</v>
      </c>
      <c r="D5" s="318">
        <f>+'Spend Jan-Mar25'!H7</f>
        <v>-968.96</v>
      </c>
      <c r="E5" s="318">
        <f>+D5+C5</f>
        <v>10123.240000000002</v>
      </c>
      <c r="F5" s="231">
        <f>SUM(F4:F4)</f>
        <v>716.16</v>
      </c>
      <c r="G5" s="231">
        <f>SUM(G4:G4)</f>
        <v>732.88</v>
      </c>
      <c r="H5" s="231">
        <f>SUM(H4:H4)</f>
        <v>708.16</v>
      </c>
      <c r="I5" s="231">
        <f>SUM(I4:I4)</f>
        <v>753.12</v>
      </c>
      <c r="J5" s="231">
        <v>803.08</v>
      </c>
      <c r="K5" s="231">
        <f>SUM(K4)</f>
        <v>865.48</v>
      </c>
      <c r="L5" s="231">
        <f>SUM(L4)</f>
        <v>772.4</v>
      </c>
      <c r="M5" s="231">
        <f t="shared" si="0"/>
        <v>772.4</v>
      </c>
      <c r="N5" s="247">
        <f t="shared" si="0"/>
        <v>772.4</v>
      </c>
      <c r="O5" s="247">
        <f t="shared" si="0"/>
        <v>772.4</v>
      </c>
      <c r="P5" s="247">
        <f t="shared" si="0"/>
        <v>772.4</v>
      </c>
      <c r="Q5" s="247">
        <f t="shared" si="0"/>
        <v>772.4</v>
      </c>
      <c r="R5" s="314">
        <f>SUM(F5:Q5)</f>
        <v>9213.279999999997</v>
      </c>
      <c r="S5" s="308">
        <f>+E5-R5</f>
        <v>909.96000000000458</v>
      </c>
      <c r="T5" s="29"/>
      <c r="U5" s="285">
        <f>+ROUND(R5*Inflation_Rate,0)</f>
        <v>9582</v>
      </c>
    </row>
    <row r="6" spans="1:25" ht="13.8" x14ac:dyDescent="0.25">
      <c r="A6" s="15" t="s">
        <v>281</v>
      </c>
      <c r="B6" s="83" t="s">
        <v>141</v>
      </c>
      <c r="F6" s="211">
        <v>642.92999999999995</v>
      </c>
      <c r="I6" s="211">
        <v>744.73</v>
      </c>
      <c r="L6" s="211">
        <v>806.14</v>
      </c>
      <c r="O6" s="210">
        <v>760</v>
      </c>
      <c r="S6" s="243"/>
    </row>
    <row r="7" spans="1:25" ht="13.8" x14ac:dyDescent="0.25">
      <c r="A7" s="29"/>
      <c r="B7" s="230" t="s">
        <v>326</v>
      </c>
      <c r="C7" s="318">
        <f>+'BudgerandActual Spend 24-25'!I7</f>
        <v>3500</v>
      </c>
      <c r="D7" s="318">
        <f>+'Spend Jan-Mar25'!H13</f>
        <v>-270.27999999999997</v>
      </c>
      <c r="E7" s="318">
        <f>+D7+C7</f>
        <v>3229.7200000000003</v>
      </c>
      <c r="F7" s="231">
        <f t="shared" ref="F7:Q7" si="1">SUM(F6:F6)</f>
        <v>642.92999999999995</v>
      </c>
      <c r="G7" s="231">
        <f t="shared" si="1"/>
        <v>0</v>
      </c>
      <c r="H7" s="231">
        <f t="shared" si="1"/>
        <v>0</v>
      </c>
      <c r="I7" s="231">
        <f t="shared" si="1"/>
        <v>744.73</v>
      </c>
      <c r="J7" s="231">
        <f t="shared" si="1"/>
        <v>0</v>
      </c>
      <c r="K7" s="231">
        <f t="shared" si="1"/>
        <v>0</v>
      </c>
      <c r="L7" s="231">
        <f t="shared" si="1"/>
        <v>806.14</v>
      </c>
      <c r="M7" s="231">
        <f t="shared" si="1"/>
        <v>0</v>
      </c>
      <c r="N7" s="247">
        <f t="shared" si="1"/>
        <v>0</v>
      </c>
      <c r="O7" s="247">
        <f t="shared" si="1"/>
        <v>760</v>
      </c>
      <c r="P7" s="247">
        <f t="shared" si="1"/>
        <v>0</v>
      </c>
      <c r="Q7" s="247">
        <f t="shared" si="1"/>
        <v>0</v>
      </c>
      <c r="R7" s="314">
        <f t="shared" ref="R7:R12" si="2">SUM(F7:Q7)</f>
        <v>2953.7999999999997</v>
      </c>
      <c r="S7" s="308">
        <f>+E7-R7</f>
        <v>275.92000000000053</v>
      </c>
      <c r="T7" s="29"/>
      <c r="U7" s="285">
        <f>+ROUND(R7*Inflation_Rate,0)</f>
        <v>3072</v>
      </c>
    </row>
    <row r="8" spans="1:25" ht="13.8" x14ac:dyDescent="0.25">
      <c r="A8" s="15" t="s">
        <v>281</v>
      </c>
      <c r="B8" s="83" t="s">
        <v>277</v>
      </c>
      <c r="F8" s="258">
        <v>17.98</v>
      </c>
      <c r="G8" s="211">
        <v>95.59</v>
      </c>
      <c r="J8" s="211">
        <v>95.59</v>
      </c>
      <c r="N8" s="210">
        <v>125</v>
      </c>
      <c r="Q8" s="210">
        <v>125</v>
      </c>
      <c r="R8" s="268">
        <f t="shared" si="2"/>
        <v>459.16</v>
      </c>
    </row>
    <row r="9" spans="1:25" ht="13.8" x14ac:dyDescent="0.25">
      <c r="A9" s="15" t="s">
        <v>281</v>
      </c>
      <c r="B9" s="83" t="s">
        <v>291</v>
      </c>
      <c r="J9" s="211">
        <v>10.99</v>
      </c>
      <c r="Q9" s="210">
        <v>30</v>
      </c>
      <c r="R9" s="268">
        <f t="shared" si="2"/>
        <v>40.99</v>
      </c>
    </row>
    <row r="10" spans="1:25" ht="13.8" x14ac:dyDescent="0.25">
      <c r="A10" s="15"/>
      <c r="B10" s="83" t="s">
        <v>391</v>
      </c>
      <c r="J10" s="211"/>
      <c r="L10" s="210">
        <v>15.79</v>
      </c>
      <c r="R10" s="268">
        <f t="shared" si="2"/>
        <v>15.79</v>
      </c>
    </row>
    <row r="11" spans="1:25" ht="13.8" x14ac:dyDescent="0.25">
      <c r="A11" s="257" t="s">
        <v>281</v>
      </c>
      <c r="B11" s="83" t="s">
        <v>383</v>
      </c>
      <c r="I11" s="211">
        <f>12.36+12.1+12.1</f>
        <v>36.56</v>
      </c>
      <c r="K11" s="211">
        <v>12.1</v>
      </c>
      <c r="L11" s="211">
        <v>12.1</v>
      </c>
      <c r="M11" s="211">
        <v>12.1</v>
      </c>
      <c r="N11" s="210">
        <v>12.1</v>
      </c>
      <c r="O11" s="210">
        <v>12.1</v>
      </c>
      <c r="P11" s="210">
        <v>12.1</v>
      </c>
      <c r="Q11" s="210">
        <v>12.1</v>
      </c>
      <c r="R11" s="268">
        <f t="shared" si="2"/>
        <v>121.25999999999998</v>
      </c>
    </row>
    <row r="12" spans="1:25" ht="13.8" x14ac:dyDescent="0.25">
      <c r="A12" s="29"/>
      <c r="B12" s="230" t="s">
        <v>327</v>
      </c>
      <c r="C12" s="318">
        <f>+'BudgerandActual Spend 24-25'!I8</f>
        <v>504</v>
      </c>
      <c r="D12" s="318">
        <f>+'Spend Jan-Mar25'!H17</f>
        <v>143.93999999999994</v>
      </c>
      <c r="E12" s="318">
        <f>+D12+C12</f>
        <v>647.93999999999994</v>
      </c>
      <c r="F12" s="231">
        <f>SUM(F8:F11)</f>
        <v>17.98</v>
      </c>
      <c r="G12" s="231">
        <f>SUM(G8:G11)</f>
        <v>95.59</v>
      </c>
      <c r="H12" s="231">
        <f t="shared" ref="H12:J12" si="3">SUM(H8:H11)</f>
        <v>0</v>
      </c>
      <c r="I12" s="231">
        <f t="shared" si="3"/>
        <v>36.56</v>
      </c>
      <c r="J12" s="231">
        <f t="shared" si="3"/>
        <v>106.58</v>
      </c>
      <c r="K12" s="231">
        <f>SUM(K8:K11)</f>
        <v>12.1</v>
      </c>
      <c r="L12" s="231">
        <f t="shared" ref="L12" si="4">SUM(L8:L11)</f>
        <v>27.89</v>
      </c>
      <c r="M12" s="231">
        <f>SUM(M8:M11)</f>
        <v>12.1</v>
      </c>
      <c r="N12" s="247">
        <f t="shared" ref="N12:P12" si="5">SUM(N8:N11)</f>
        <v>137.1</v>
      </c>
      <c r="O12" s="247">
        <f t="shared" si="5"/>
        <v>12.1</v>
      </c>
      <c r="P12" s="247">
        <f t="shared" si="5"/>
        <v>12.1</v>
      </c>
      <c r="Q12" s="247">
        <f>SUM(Q8:Q11)</f>
        <v>167.1</v>
      </c>
      <c r="R12" s="314">
        <f t="shared" si="2"/>
        <v>637.20000000000005</v>
      </c>
      <c r="S12" s="308">
        <f>+E12-R12</f>
        <v>10.739999999999895</v>
      </c>
      <c r="T12" s="29"/>
      <c r="U12" s="285">
        <f>+ROUND(R12*Inflation_Rate,0)</f>
        <v>663</v>
      </c>
    </row>
    <row r="13" spans="1:25" ht="13.8" x14ac:dyDescent="0.25">
      <c r="A13" s="257" t="s">
        <v>281</v>
      </c>
      <c r="B13" s="83" t="s">
        <v>298</v>
      </c>
      <c r="F13" s="258">
        <v>95.99</v>
      </c>
      <c r="R13" s="268">
        <f t="shared" ref="R13:R45" si="6">SUM(F13:Q13)</f>
        <v>95.99</v>
      </c>
      <c r="S13" s="283" t="s">
        <v>303</v>
      </c>
    </row>
    <row r="14" spans="1:25" ht="13.8" x14ac:dyDescent="0.25">
      <c r="A14" s="257" t="s">
        <v>281</v>
      </c>
      <c r="B14" s="83" t="s">
        <v>287</v>
      </c>
      <c r="Q14" s="210">
        <v>250</v>
      </c>
      <c r="R14" s="268">
        <f t="shared" si="6"/>
        <v>250</v>
      </c>
      <c r="S14" s="243"/>
    </row>
    <row r="15" spans="1:25" ht="13.8" x14ac:dyDescent="0.25">
      <c r="A15" s="257" t="s">
        <v>281</v>
      </c>
      <c r="B15" s="83" t="s">
        <v>324</v>
      </c>
      <c r="L15" s="211">
        <v>2.5</v>
      </c>
      <c r="R15" s="268">
        <f t="shared" si="6"/>
        <v>2.5</v>
      </c>
      <c r="S15" s="243"/>
    </row>
    <row r="16" spans="1:25" ht="13.8" x14ac:dyDescent="0.25">
      <c r="A16" s="296" t="s">
        <v>371</v>
      </c>
      <c r="B16" s="83" t="s">
        <v>317</v>
      </c>
      <c r="L16" s="287">
        <f>((SUM(F13:L15)*0.166)*-1)-SUM(F16:K16)</f>
        <v>-16.349340000000002</v>
      </c>
      <c r="Q16" s="210">
        <f>(SUM(R13:R14)*0.166*-1)-SUM(F16:P16)</f>
        <v>-41.085000000000008</v>
      </c>
      <c r="R16" s="268">
        <f t="shared" si="6"/>
        <v>-57.434340000000006</v>
      </c>
      <c r="S16" s="243"/>
    </row>
    <row r="17" spans="1:21" ht="13.8" x14ac:dyDescent="0.25">
      <c r="A17" s="29"/>
      <c r="B17" s="230" t="s">
        <v>328</v>
      </c>
      <c r="C17" s="319">
        <f>+'BudgerandActual Spend 24-25'!I9</f>
        <v>400</v>
      </c>
      <c r="D17" s="319">
        <f>+'Spend Jan-Mar25'!H20</f>
        <v>0</v>
      </c>
      <c r="E17" s="319">
        <f>+D17+C17</f>
        <v>400</v>
      </c>
      <c r="F17" s="231">
        <f>SUM(F13:F14)</f>
        <v>95.99</v>
      </c>
      <c r="G17" s="231">
        <f>SUM(G13:G14)</f>
        <v>0</v>
      </c>
      <c r="H17" s="231">
        <f>SUM(H13:H14)</f>
        <v>0</v>
      </c>
      <c r="I17" s="231">
        <f>SUM(I13:I14)</f>
        <v>0</v>
      </c>
      <c r="J17" s="231">
        <f>SUM(J13:J14)</f>
        <v>0</v>
      </c>
      <c r="K17" s="231">
        <f t="shared" ref="K17:Q17" si="7">SUM(K13:K16)</f>
        <v>0</v>
      </c>
      <c r="L17" s="231">
        <f t="shared" si="7"/>
        <v>-13.849340000000002</v>
      </c>
      <c r="M17" s="231">
        <f t="shared" si="7"/>
        <v>0</v>
      </c>
      <c r="N17" s="247">
        <f t="shared" si="7"/>
        <v>0</v>
      </c>
      <c r="O17" s="247">
        <f t="shared" si="7"/>
        <v>0</v>
      </c>
      <c r="P17" s="247">
        <f t="shared" si="7"/>
        <v>0</v>
      </c>
      <c r="Q17" s="247">
        <f t="shared" si="7"/>
        <v>208.91499999999999</v>
      </c>
      <c r="R17" s="314">
        <f t="shared" si="6"/>
        <v>291.05565999999999</v>
      </c>
      <c r="S17" s="308">
        <f>+E17-R17</f>
        <v>108.94434000000001</v>
      </c>
      <c r="T17" s="29"/>
      <c r="U17" s="285">
        <f>+ROUND(R17*Inflation_Rate,0)</f>
        <v>303</v>
      </c>
    </row>
    <row r="18" spans="1:21" ht="13.8" x14ac:dyDescent="0.25">
      <c r="A18" s="257" t="s">
        <v>281</v>
      </c>
      <c r="B18" s="83" t="s">
        <v>289</v>
      </c>
      <c r="G18" s="211">
        <v>6</v>
      </c>
      <c r="H18" s="211">
        <v>6</v>
      </c>
      <c r="I18" s="211">
        <v>6</v>
      </c>
      <c r="J18" s="211">
        <v>6</v>
      </c>
      <c r="K18" s="211">
        <v>6</v>
      </c>
      <c r="L18" s="211">
        <v>6</v>
      </c>
      <c r="M18" s="210">
        <v>6</v>
      </c>
      <c r="N18" s="210">
        <v>6</v>
      </c>
      <c r="O18" s="210">
        <v>6</v>
      </c>
      <c r="P18" s="210">
        <v>6</v>
      </c>
      <c r="Q18" s="210">
        <v>6</v>
      </c>
      <c r="R18" s="268">
        <f t="shared" si="6"/>
        <v>66</v>
      </c>
      <c r="S18" s="243"/>
      <c r="T18" s="15"/>
    </row>
    <row r="19" spans="1:21" ht="13.8" x14ac:dyDescent="0.25">
      <c r="A19" s="257" t="s">
        <v>281</v>
      </c>
      <c r="B19" s="83" t="s">
        <v>288</v>
      </c>
      <c r="Q19" s="210">
        <v>600</v>
      </c>
      <c r="R19" s="268">
        <f t="shared" si="6"/>
        <v>600</v>
      </c>
      <c r="S19" s="243"/>
      <c r="U19" s="15"/>
    </row>
    <row r="20" spans="1:21" ht="13.8" x14ac:dyDescent="0.25">
      <c r="A20" s="296" t="s">
        <v>371</v>
      </c>
      <c r="B20" s="83" t="s">
        <v>317</v>
      </c>
      <c r="L20" s="287">
        <f>((SUM(F18:L19)*0.166)*-1)-SUM(F20:K20)</f>
        <v>-5.976</v>
      </c>
      <c r="Q20" s="210">
        <f>((SUM(R18:R19)*0.166)*-1)-SUM(F20:P20)</f>
        <v>-104.58000000000001</v>
      </c>
      <c r="R20" s="268">
        <f t="shared" si="6"/>
        <v>-110.55600000000001</v>
      </c>
      <c r="S20" s="243"/>
      <c r="T20" s="15"/>
    </row>
    <row r="21" spans="1:21" ht="13.8" x14ac:dyDescent="0.25">
      <c r="A21" s="29"/>
      <c r="B21" s="230" t="s">
        <v>329</v>
      </c>
      <c r="C21" s="318">
        <f>+'BudgerandActual Spend 24-25'!I10</f>
        <v>200</v>
      </c>
      <c r="D21" s="318">
        <f>+'Spend Jan-Mar25'!H23</f>
        <v>600</v>
      </c>
      <c r="E21" s="318">
        <f>+D21+C21</f>
        <v>800</v>
      </c>
      <c r="F21" s="231">
        <f t="shared" ref="F21:Q21" si="8">SUM(F18:F19)</f>
        <v>0</v>
      </c>
      <c r="G21" s="231">
        <f t="shared" si="8"/>
        <v>6</v>
      </c>
      <c r="H21" s="231">
        <f t="shared" si="8"/>
        <v>6</v>
      </c>
      <c r="I21" s="231">
        <f t="shared" si="8"/>
        <v>6</v>
      </c>
      <c r="J21" s="231">
        <f t="shared" si="8"/>
        <v>6</v>
      </c>
      <c r="K21" s="231">
        <f t="shared" si="8"/>
        <v>6</v>
      </c>
      <c r="L21" s="231">
        <f t="shared" si="8"/>
        <v>6</v>
      </c>
      <c r="M21" s="247">
        <f t="shared" si="8"/>
        <v>6</v>
      </c>
      <c r="N21" s="247">
        <f t="shared" si="8"/>
        <v>6</v>
      </c>
      <c r="O21" s="247">
        <f t="shared" si="8"/>
        <v>6</v>
      </c>
      <c r="P21" s="247">
        <f t="shared" si="8"/>
        <v>6</v>
      </c>
      <c r="Q21" s="247">
        <f t="shared" si="8"/>
        <v>606</v>
      </c>
      <c r="R21" s="314">
        <f t="shared" si="6"/>
        <v>666</v>
      </c>
      <c r="S21" s="308">
        <f>+E21-R21</f>
        <v>134</v>
      </c>
      <c r="T21" s="29"/>
      <c r="U21" s="285">
        <f>+ROUND(R21*Inflation_Rate,0)</f>
        <v>693</v>
      </c>
    </row>
    <row r="22" spans="1:21" ht="13.8" x14ac:dyDescent="0.25">
      <c r="A22" s="259" t="s">
        <v>281</v>
      </c>
      <c r="B22" s="83" t="s">
        <v>279</v>
      </c>
      <c r="H22" s="211">
        <v>47</v>
      </c>
      <c r="R22" s="268">
        <f t="shared" si="6"/>
        <v>47</v>
      </c>
      <c r="S22" s="243"/>
    </row>
    <row r="23" spans="1:21" ht="13.8" x14ac:dyDescent="0.25">
      <c r="A23" s="260" t="s">
        <v>281</v>
      </c>
      <c r="B23" s="83" t="s">
        <v>136</v>
      </c>
      <c r="R23" s="268">
        <f>SUM(F23:Q23)</f>
        <v>0</v>
      </c>
      <c r="S23" s="243"/>
      <c r="T23" s="15"/>
    </row>
    <row r="24" spans="1:21" ht="13.8" x14ac:dyDescent="0.25">
      <c r="A24" s="260" t="s">
        <v>281</v>
      </c>
      <c r="B24" s="83" t="s">
        <v>278</v>
      </c>
      <c r="P24" s="210">
        <v>50</v>
      </c>
      <c r="R24" s="268">
        <f t="shared" si="6"/>
        <v>50</v>
      </c>
      <c r="S24" s="243"/>
    </row>
    <row r="25" spans="1:21" ht="13.8" x14ac:dyDescent="0.25">
      <c r="A25" s="260" t="s">
        <v>281</v>
      </c>
      <c r="B25" s="83" t="s">
        <v>280</v>
      </c>
      <c r="P25" s="210">
        <v>50</v>
      </c>
      <c r="R25" s="268">
        <f t="shared" si="6"/>
        <v>50</v>
      </c>
      <c r="S25" s="243"/>
    </row>
    <row r="26" spans="1:21" ht="13.8" x14ac:dyDescent="0.25">
      <c r="A26" s="29"/>
      <c r="B26" s="230" t="s">
        <v>330</v>
      </c>
      <c r="C26" s="318">
        <f>582+160</f>
        <v>742</v>
      </c>
      <c r="D26" s="318">
        <f>+'Spend Jan-Mar25'!H26</f>
        <v>-190</v>
      </c>
      <c r="E26" s="318">
        <f>+D26+C26</f>
        <v>552</v>
      </c>
      <c r="F26" s="231">
        <f t="shared" ref="F26:Q26" si="9">SUM(F22:F25)</f>
        <v>0</v>
      </c>
      <c r="G26" s="231">
        <f t="shared" si="9"/>
        <v>0</v>
      </c>
      <c r="H26" s="231">
        <f t="shared" si="9"/>
        <v>47</v>
      </c>
      <c r="I26" s="231">
        <f t="shared" si="9"/>
        <v>0</v>
      </c>
      <c r="J26" s="231">
        <f t="shared" si="9"/>
        <v>0</v>
      </c>
      <c r="K26" s="231">
        <f t="shared" si="9"/>
        <v>0</v>
      </c>
      <c r="L26" s="231">
        <f t="shared" si="9"/>
        <v>0</v>
      </c>
      <c r="M26" s="231">
        <f t="shared" si="9"/>
        <v>0</v>
      </c>
      <c r="N26" s="247">
        <f t="shared" si="9"/>
        <v>0</v>
      </c>
      <c r="O26" s="247">
        <f t="shared" si="9"/>
        <v>0</v>
      </c>
      <c r="P26" s="247">
        <f t="shared" si="9"/>
        <v>100</v>
      </c>
      <c r="Q26" s="247">
        <f t="shared" si="9"/>
        <v>0</v>
      </c>
      <c r="R26" s="314">
        <f t="shared" si="6"/>
        <v>147</v>
      </c>
      <c r="S26" s="308">
        <f>+E26-R26</f>
        <v>405</v>
      </c>
      <c r="T26" s="29"/>
      <c r="U26" s="292">
        <f>+ROUND(R26*Inflation_Rate,0)+168</f>
        <v>321</v>
      </c>
    </row>
    <row r="27" spans="1:21" ht="13.8" x14ac:dyDescent="0.25">
      <c r="A27" s="260" t="s">
        <v>281</v>
      </c>
      <c r="B27" s="83" t="s">
        <v>149</v>
      </c>
      <c r="N27" s="210">
        <v>500</v>
      </c>
      <c r="R27" s="268">
        <f t="shared" si="6"/>
        <v>500</v>
      </c>
      <c r="S27" s="243"/>
    </row>
    <row r="28" spans="1:21" ht="13.8" x14ac:dyDescent="0.25">
      <c r="A28" s="29"/>
      <c r="B28" s="230" t="s">
        <v>331</v>
      </c>
      <c r="C28" s="318">
        <f>+'BudgerandActual Spend 24-25'!I13</f>
        <v>0</v>
      </c>
      <c r="D28" s="318">
        <f>+'Spend Jan-Mar25'!H32</f>
        <v>0</v>
      </c>
      <c r="E28" s="318">
        <f>+D28+C28</f>
        <v>0</v>
      </c>
      <c r="F28" s="231">
        <f t="shared" ref="F28:Q28" si="10">SUM(F27:F27)</f>
        <v>0</v>
      </c>
      <c r="G28" s="231">
        <f t="shared" si="10"/>
        <v>0</v>
      </c>
      <c r="H28" s="231">
        <f t="shared" si="10"/>
        <v>0</v>
      </c>
      <c r="I28" s="231">
        <f t="shared" si="10"/>
        <v>0</v>
      </c>
      <c r="J28" s="231">
        <f t="shared" si="10"/>
        <v>0</v>
      </c>
      <c r="K28" s="231">
        <f t="shared" si="10"/>
        <v>0</v>
      </c>
      <c r="L28" s="231">
        <f t="shared" si="10"/>
        <v>0</v>
      </c>
      <c r="M28" s="231">
        <f t="shared" si="10"/>
        <v>0</v>
      </c>
      <c r="N28" s="247">
        <f t="shared" si="10"/>
        <v>500</v>
      </c>
      <c r="O28" s="247">
        <f t="shared" si="10"/>
        <v>0</v>
      </c>
      <c r="P28" s="247">
        <f t="shared" si="10"/>
        <v>0</v>
      </c>
      <c r="Q28" s="247">
        <f t="shared" si="10"/>
        <v>0</v>
      </c>
      <c r="R28" s="314">
        <f t="shared" si="6"/>
        <v>500</v>
      </c>
      <c r="S28" s="308">
        <f>+E28-R28</f>
        <v>-500</v>
      </c>
      <c r="T28" s="29"/>
      <c r="U28" s="292">
        <f>+ROUND(R28*Inflation_Rate,0)</f>
        <v>520</v>
      </c>
    </row>
    <row r="29" spans="1:21" ht="13.8" x14ac:dyDescent="0.25">
      <c r="A29" s="259" t="s">
        <v>281</v>
      </c>
      <c r="B29" s="83" t="s">
        <v>144</v>
      </c>
      <c r="G29" s="211">
        <v>819.95</v>
      </c>
      <c r="R29" s="268">
        <f t="shared" si="6"/>
        <v>819.95</v>
      </c>
      <c r="S29" s="243"/>
    </row>
    <row r="30" spans="1:21" ht="13.8" x14ac:dyDescent="0.25">
      <c r="A30" s="29"/>
      <c r="B30" s="230" t="s">
        <v>332</v>
      </c>
      <c r="C30" s="318">
        <f>+'BudgerandActual Spend 24-25'!I14</f>
        <v>997</v>
      </c>
      <c r="D30" s="318">
        <f>+'Spend Jan-Mar25'!H35</f>
        <v>0</v>
      </c>
      <c r="E30" s="318">
        <f>+D30+C30</f>
        <v>997</v>
      </c>
      <c r="F30" s="231">
        <f t="shared" ref="F30:Q30" si="11">SUM(F29:F29)</f>
        <v>0</v>
      </c>
      <c r="G30" s="231">
        <f t="shared" si="11"/>
        <v>819.95</v>
      </c>
      <c r="H30" s="231">
        <f t="shared" si="11"/>
        <v>0</v>
      </c>
      <c r="I30" s="231">
        <f t="shared" si="11"/>
        <v>0</v>
      </c>
      <c r="J30" s="231">
        <f t="shared" si="11"/>
        <v>0</v>
      </c>
      <c r="K30" s="231">
        <f t="shared" si="11"/>
        <v>0</v>
      </c>
      <c r="L30" s="231">
        <f t="shared" si="11"/>
        <v>0</v>
      </c>
      <c r="M30" s="231">
        <f t="shared" si="11"/>
        <v>0</v>
      </c>
      <c r="N30" s="247">
        <f t="shared" si="11"/>
        <v>0</v>
      </c>
      <c r="O30" s="247">
        <f t="shared" si="11"/>
        <v>0</v>
      </c>
      <c r="P30" s="247">
        <f t="shared" si="11"/>
        <v>0</v>
      </c>
      <c r="Q30" s="247">
        <f t="shared" si="11"/>
        <v>0</v>
      </c>
      <c r="R30" s="314">
        <f t="shared" si="6"/>
        <v>819.95</v>
      </c>
      <c r="S30" s="308">
        <f>+E30-R30</f>
        <v>177.04999999999995</v>
      </c>
      <c r="T30" s="29"/>
      <c r="U30" s="285">
        <f>+ROUND(R30*Inflation_Rate,0)</f>
        <v>853</v>
      </c>
    </row>
    <row r="31" spans="1:21" ht="13.8" x14ac:dyDescent="0.25">
      <c r="A31" s="257" t="s">
        <v>281</v>
      </c>
      <c r="B31" s="83" t="s">
        <v>12</v>
      </c>
      <c r="I31" s="211">
        <v>90</v>
      </c>
      <c r="J31" s="211">
        <v>30</v>
      </c>
      <c r="K31" s="211">
        <v>30</v>
      </c>
      <c r="L31" s="211">
        <v>30</v>
      </c>
      <c r="M31" s="210">
        <v>30</v>
      </c>
      <c r="N31" s="210">
        <v>30</v>
      </c>
      <c r="O31" s="210">
        <v>30</v>
      </c>
      <c r="P31" s="210">
        <v>30</v>
      </c>
      <c r="Q31" s="210">
        <v>30</v>
      </c>
      <c r="R31" s="268">
        <f t="shared" si="6"/>
        <v>330</v>
      </c>
    </row>
    <row r="32" spans="1:21" ht="13.8" x14ac:dyDescent="0.25">
      <c r="A32" s="296" t="s">
        <v>371</v>
      </c>
      <c r="B32" s="83" t="s">
        <v>317</v>
      </c>
      <c r="L32" s="287">
        <f>((SUM(F31:L31)*0.166)*-1)-SUM(F32:K32)</f>
        <v>-29.880000000000003</v>
      </c>
      <c r="Q32" s="210">
        <f>((SUM(R31)*0.166)*-1)-SUM(F32:P32)</f>
        <v>-24.9</v>
      </c>
      <c r="R32" s="268">
        <f t="shared" si="6"/>
        <v>-54.78</v>
      </c>
    </row>
    <row r="33" spans="1:21" ht="13.8" x14ac:dyDescent="0.25">
      <c r="A33" s="29"/>
      <c r="B33" s="230" t="s">
        <v>333</v>
      </c>
      <c r="C33" s="318">
        <f>+'BudgerandActual Spend 24-25'!I15</f>
        <v>260</v>
      </c>
      <c r="D33" s="318">
        <f>+'Spend Jan-Mar25'!H38</f>
        <v>0</v>
      </c>
      <c r="E33" s="318">
        <f>+D33+C33</f>
        <v>260</v>
      </c>
      <c r="F33" s="231">
        <f t="shared" ref="F33:Q33" si="12">SUM(F31:F32)</f>
        <v>0</v>
      </c>
      <c r="G33" s="231">
        <f t="shared" si="12"/>
        <v>0</v>
      </c>
      <c r="H33" s="231">
        <f t="shared" si="12"/>
        <v>0</v>
      </c>
      <c r="I33" s="231">
        <f t="shared" si="12"/>
        <v>90</v>
      </c>
      <c r="J33" s="231">
        <f t="shared" si="12"/>
        <v>30</v>
      </c>
      <c r="K33" s="231">
        <f t="shared" si="12"/>
        <v>30</v>
      </c>
      <c r="L33" s="231">
        <f t="shared" si="12"/>
        <v>0.11999999999999744</v>
      </c>
      <c r="M33" s="303">
        <f t="shared" si="12"/>
        <v>30</v>
      </c>
      <c r="N33" s="247">
        <f t="shared" si="12"/>
        <v>30</v>
      </c>
      <c r="O33" s="247">
        <f t="shared" si="12"/>
        <v>30</v>
      </c>
      <c r="P33" s="247">
        <f t="shared" si="12"/>
        <v>30</v>
      </c>
      <c r="Q33" s="247">
        <f t="shared" si="12"/>
        <v>5.1000000000000014</v>
      </c>
      <c r="R33" s="314">
        <f t="shared" si="6"/>
        <v>275.22000000000003</v>
      </c>
      <c r="S33" s="308">
        <f>+E33-R33</f>
        <v>-15.220000000000027</v>
      </c>
      <c r="T33" s="29"/>
      <c r="U33" s="285">
        <f>+ROUND(R33*Inflation_Rate,0)</f>
        <v>286</v>
      </c>
    </row>
    <row r="34" spans="1:21" ht="13.8" x14ac:dyDescent="0.25">
      <c r="A34" s="259" t="s">
        <v>281</v>
      </c>
      <c r="B34" s="83" t="s">
        <v>249</v>
      </c>
      <c r="G34" s="211">
        <v>103</v>
      </c>
      <c r="R34" s="268">
        <f t="shared" si="6"/>
        <v>103</v>
      </c>
      <c r="S34" s="243"/>
    </row>
    <row r="35" spans="1:21" ht="13.8" x14ac:dyDescent="0.25">
      <c r="A35" s="29"/>
      <c r="B35" s="230" t="s">
        <v>334</v>
      </c>
      <c r="C35" s="318">
        <f>+'BudgerandActual Spend 24-25'!I16</f>
        <v>124</v>
      </c>
      <c r="D35" s="318">
        <f>+'Spend Jan-Mar25'!H41</f>
        <v>0</v>
      </c>
      <c r="E35" s="318">
        <f>+D35+C35</f>
        <v>124</v>
      </c>
      <c r="F35" s="231">
        <f t="shared" ref="F35:Q35" si="13">SUM(F34:F34)</f>
        <v>0</v>
      </c>
      <c r="G35" s="231">
        <f t="shared" si="13"/>
        <v>103</v>
      </c>
      <c r="H35" s="231">
        <f t="shared" si="13"/>
        <v>0</v>
      </c>
      <c r="I35" s="231">
        <f t="shared" si="13"/>
        <v>0</v>
      </c>
      <c r="J35" s="231">
        <f t="shared" si="13"/>
        <v>0</v>
      </c>
      <c r="K35" s="231">
        <f t="shared" si="13"/>
        <v>0</v>
      </c>
      <c r="L35" s="231">
        <f t="shared" si="13"/>
        <v>0</v>
      </c>
      <c r="M35" s="231">
        <f t="shared" si="13"/>
        <v>0</v>
      </c>
      <c r="N35" s="247">
        <f t="shared" si="13"/>
        <v>0</v>
      </c>
      <c r="O35" s="247">
        <f t="shared" si="13"/>
        <v>0</v>
      </c>
      <c r="P35" s="247">
        <f t="shared" si="13"/>
        <v>0</v>
      </c>
      <c r="Q35" s="247">
        <f t="shared" si="13"/>
        <v>0</v>
      </c>
      <c r="R35" s="314">
        <f t="shared" si="6"/>
        <v>103</v>
      </c>
      <c r="S35" s="308">
        <f>+E35-R35</f>
        <v>21</v>
      </c>
      <c r="T35" s="29"/>
      <c r="U35" s="285">
        <f>+ROUND(R35*Inflation_Rate,0)</f>
        <v>107</v>
      </c>
    </row>
    <row r="36" spans="1:21" ht="13.8" x14ac:dyDescent="0.25">
      <c r="A36" s="257" t="s">
        <v>281</v>
      </c>
      <c r="B36" s="83" t="s">
        <v>305</v>
      </c>
      <c r="J36" s="211">
        <v>378</v>
      </c>
      <c r="R36" s="268">
        <f t="shared" si="6"/>
        <v>378</v>
      </c>
      <c r="S36" s="243"/>
    </row>
    <row r="37" spans="1:21" ht="13.8" x14ac:dyDescent="0.25">
      <c r="A37" s="296" t="s">
        <v>371</v>
      </c>
      <c r="B37" s="83" t="s">
        <v>381</v>
      </c>
      <c r="L37" s="287">
        <f>((SUM(F36:L36)*0.166)*-1)-SUM(F37:K37)</f>
        <v>-62.748000000000005</v>
      </c>
      <c r="R37" s="268">
        <f t="shared" si="6"/>
        <v>-62.748000000000005</v>
      </c>
      <c r="S37" s="243"/>
    </row>
    <row r="38" spans="1:21" ht="13.8" x14ac:dyDescent="0.25">
      <c r="A38" s="29"/>
      <c r="B38" s="230" t="s">
        <v>335</v>
      </c>
      <c r="C38" s="318">
        <f>+'BudgerandActual Spend 24-25'!I17</f>
        <v>450</v>
      </c>
      <c r="D38" s="318">
        <f>+'Spend Jan-Mar25'!H44</f>
        <v>0</v>
      </c>
      <c r="E38" s="318">
        <f>+D38+C38</f>
        <v>450</v>
      </c>
      <c r="F38" s="231">
        <f>SUM(F36:F37)</f>
        <v>0</v>
      </c>
      <c r="G38" s="231">
        <f t="shared" ref="G38:Q38" si="14">SUM(G36:G37)</f>
        <v>0</v>
      </c>
      <c r="H38" s="231">
        <f t="shared" si="14"/>
        <v>0</v>
      </c>
      <c r="I38" s="231">
        <f t="shared" si="14"/>
        <v>0</v>
      </c>
      <c r="J38" s="231">
        <f t="shared" si="14"/>
        <v>378</v>
      </c>
      <c r="K38" s="231">
        <f t="shared" si="14"/>
        <v>0</v>
      </c>
      <c r="L38" s="231">
        <f t="shared" si="14"/>
        <v>-62.748000000000005</v>
      </c>
      <c r="M38" s="231">
        <f t="shared" si="14"/>
        <v>0</v>
      </c>
      <c r="N38" s="247">
        <f t="shared" si="14"/>
        <v>0</v>
      </c>
      <c r="O38" s="247">
        <f t="shared" si="14"/>
        <v>0</v>
      </c>
      <c r="P38" s="247">
        <f t="shared" si="14"/>
        <v>0</v>
      </c>
      <c r="Q38" s="247">
        <f t="shared" si="14"/>
        <v>0</v>
      </c>
      <c r="R38" s="314">
        <f>SUM(R36:R37)</f>
        <v>315.25200000000001</v>
      </c>
      <c r="S38" s="308">
        <f>+E38-R38</f>
        <v>134.74799999999999</v>
      </c>
      <c r="T38" s="29"/>
      <c r="U38" s="285">
        <f>+ROUND(R38*Inflation_Rate,0)</f>
        <v>328</v>
      </c>
    </row>
    <row r="39" spans="1:21" ht="13.8" x14ac:dyDescent="0.25">
      <c r="B39" s="83" t="s">
        <v>319</v>
      </c>
      <c r="R39" s="268">
        <f t="shared" ref="R39:R40" si="15">SUM(F39:Q39)</f>
        <v>0</v>
      </c>
      <c r="S39" s="243"/>
    </row>
    <row r="40" spans="1:21" ht="13.8" x14ac:dyDescent="0.25">
      <c r="A40" s="29"/>
      <c r="B40" s="230" t="s">
        <v>336</v>
      </c>
      <c r="C40" s="320">
        <v>0</v>
      </c>
      <c r="D40" s="321">
        <f>+'Spend Jan-Mar25'!H57</f>
        <v>0</v>
      </c>
      <c r="E40" s="318">
        <f>+D40+C40</f>
        <v>0</v>
      </c>
      <c r="F40" s="231">
        <f t="shared" ref="F40:Q40" si="16">SUM(F39:F39)</f>
        <v>0</v>
      </c>
      <c r="G40" s="231">
        <f t="shared" si="16"/>
        <v>0</v>
      </c>
      <c r="H40" s="231">
        <f t="shared" si="16"/>
        <v>0</v>
      </c>
      <c r="I40" s="231">
        <f t="shared" si="16"/>
        <v>0</v>
      </c>
      <c r="J40" s="231">
        <f t="shared" si="16"/>
        <v>0</v>
      </c>
      <c r="K40" s="231">
        <f t="shared" si="16"/>
        <v>0</v>
      </c>
      <c r="L40" s="231">
        <f t="shared" si="16"/>
        <v>0</v>
      </c>
      <c r="M40" s="231">
        <f t="shared" si="16"/>
        <v>0</v>
      </c>
      <c r="N40" s="247">
        <f t="shared" si="16"/>
        <v>0</v>
      </c>
      <c r="O40" s="247">
        <f t="shared" si="16"/>
        <v>0</v>
      </c>
      <c r="P40" s="247">
        <f t="shared" si="16"/>
        <v>0</v>
      </c>
      <c r="Q40" s="247">
        <f t="shared" si="16"/>
        <v>0</v>
      </c>
      <c r="R40" s="314">
        <f t="shared" si="15"/>
        <v>0</v>
      </c>
      <c r="S40" s="308">
        <f>+E40-R40</f>
        <v>0</v>
      </c>
      <c r="T40" s="29"/>
      <c r="U40" s="273">
        <v>3000</v>
      </c>
    </row>
    <row r="41" spans="1:21" ht="13.8" x14ac:dyDescent="0.25">
      <c r="B41" s="83" t="s">
        <v>139</v>
      </c>
      <c r="R41" s="268">
        <f t="shared" si="6"/>
        <v>0</v>
      </c>
      <c r="S41" s="243"/>
    </row>
    <row r="42" spans="1:21" ht="13.8" x14ac:dyDescent="0.25">
      <c r="A42" s="29"/>
      <c r="B42" s="230" t="s">
        <v>337</v>
      </c>
      <c r="C42" s="320">
        <f>+'BudgerandActual Spend 24-25'!I22</f>
        <v>250</v>
      </c>
      <c r="D42" s="321">
        <f>+'Spend Jan-Mar25'!H59</f>
        <v>0</v>
      </c>
      <c r="E42" s="318">
        <f>+D42+C42</f>
        <v>250</v>
      </c>
      <c r="F42" s="231">
        <f t="shared" ref="F42:Q42" si="17">SUM(F41:F41)</f>
        <v>0</v>
      </c>
      <c r="G42" s="231">
        <f t="shared" si="17"/>
        <v>0</v>
      </c>
      <c r="H42" s="231">
        <f t="shared" si="17"/>
        <v>0</v>
      </c>
      <c r="I42" s="231">
        <f t="shared" si="17"/>
        <v>0</v>
      </c>
      <c r="J42" s="231">
        <f t="shared" si="17"/>
        <v>0</v>
      </c>
      <c r="K42" s="231">
        <f t="shared" si="17"/>
        <v>0</v>
      </c>
      <c r="L42" s="231">
        <f t="shared" si="17"/>
        <v>0</v>
      </c>
      <c r="M42" s="231">
        <f t="shared" si="17"/>
        <v>0</v>
      </c>
      <c r="N42" s="247">
        <f t="shared" si="17"/>
        <v>0</v>
      </c>
      <c r="O42" s="247">
        <f t="shared" si="17"/>
        <v>0</v>
      </c>
      <c r="P42" s="247">
        <f t="shared" si="17"/>
        <v>0</v>
      </c>
      <c r="Q42" s="247">
        <f t="shared" si="17"/>
        <v>0</v>
      </c>
      <c r="R42" s="314">
        <f t="shared" si="6"/>
        <v>0</v>
      </c>
      <c r="S42" s="308">
        <f>+E42-R42</f>
        <v>250</v>
      </c>
      <c r="T42" s="29"/>
      <c r="U42" s="285">
        <f>+ROUND(R42*Inflation_Rate,0)</f>
        <v>0</v>
      </c>
    </row>
    <row r="43" spans="1:21" ht="13.8" x14ac:dyDescent="0.25">
      <c r="A43" s="15" t="s">
        <v>283</v>
      </c>
      <c r="B43" s="83" t="s">
        <v>153</v>
      </c>
      <c r="D43" s="243"/>
      <c r="R43" s="268">
        <f t="shared" si="6"/>
        <v>0</v>
      </c>
      <c r="S43" s="243"/>
    </row>
    <row r="44" spans="1:21" ht="13.8" x14ac:dyDescent="0.25">
      <c r="A44" s="246"/>
      <c r="B44" s="230" t="s">
        <v>338</v>
      </c>
      <c r="C44" s="320">
        <f>+'BudgerandActual Spend 24-25'!I28</f>
        <v>1700</v>
      </c>
      <c r="D44" s="321">
        <f>+'Spend Jan-Mar25'!H77</f>
        <v>0</v>
      </c>
      <c r="E44" s="318">
        <f>+D44+C44</f>
        <v>1700</v>
      </c>
      <c r="F44" s="231">
        <f t="shared" ref="F44:Q44" si="18">SUM(F43:F43)</f>
        <v>0</v>
      </c>
      <c r="G44" s="231">
        <f t="shared" si="18"/>
        <v>0</v>
      </c>
      <c r="H44" s="231">
        <f t="shared" si="18"/>
        <v>0</v>
      </c>
      <c r="I44" s="231">
        <f t="shared" si="18"/>
        <v>0</v>
      </c>
      <c r="J44" s="231">
        <f t="shared" si="18"/>
        <v>0</v>
      </c>
      <c r="K44" s="231">
        <f t="shared" si="18"/>
        <v>0</v>
      </c>
      <c r="L44" s="231">
        <f t="shared" si="18"/>
        <v>0</v>
      </c>
      <c r="M44" s="231">
        <f t="shared" si="18"/>
        <v>0</v>
      </c>
      <c r="N44" s="247">
        <f t="shared" si="18"/>
        <v>0</v>
      </c>
      <c r="O44" s="247">
        <f t="shared" si="18"/>
        <v>0</v>
      </c>
      <c r="P44" s="247">
        <f t="shared" si="18"/>
        <v>0</v>
      </c>
      <c r="Q44" s="247">
        <f t="shared" si="18"/>
        <v>0</v>
      </c>
      <c r="R44" s="314">
        <f t="shared" si="6"/>
        <v>0</v>
      </c>
      <c r="S44" s="308">
        <f>+E44-R44</f>
        <v>1700</v>
      </c>
      <c r="T44" s="29"/>
      <c r="U44" s="292">
        <f>+ROUND(1700,0)*Inflation_Rate</f>
        <v>1768</v>
      </c>
    </row>
    <row r="45" spans="1:21" ht="13.8" x14ac:dyDescent="0.25">
      <c r="A45" s="257" t="s">
        <v>284</v>
      </c>
      <c r="B45" s="83" t="s">
        <v>243</v>
      </c>
      <c r="G45" s="211">
        <v>6805.2</v>
      </c>
      <c r="R45" s="268">
        <f t="shared" si="6"/>
        <v>6805.2</v>
      </c>
      <c r="S45" s="243"/>
      <c r="T45" s="15" t="s">
        <v>302</v>
      </c>
    </row>
    <row r="46" spans="1:21" ht="13.8" x14ac:dyDescent="0.25">
      <c r="A46" s="257" t="s">
        <v>284</v>
      </c>
      <c r="B46" s="83" t="s">
        <v>294</v>
      </c>
      <c r="J46" s="211">
        <v>781.68</v>
      </c>
      <c r="R46" s="268">
        <f t="shared" ref="R46:R48" si="19">SUM(F46:Q46)</f>
        <v>781.68</v>
      </c>
      <c r="S46" s="243"/>
    </row>
    <row r="47" spans="1:21" ht="13.8" x14ac:dyDescent="0.25">
      <c r="A47" s="257" t="s">
        <v>284</v>
      </c>
      <c r="B47" s="83" t="s">
        <v>248</v>
      </c>
      <c r="I47" s="211">
        <v>13968</v>
      </c>
      <c r="R47" s="268">
        <f t="shared" si="19"/>
        <v>13968</v>
      </c>
      <c r="S47" s="243"/>
    </row>
    <row r="48" spans="1:21" ht="13.8" x14ac:dyDescent="0.25">
      <c r="A48" s="296"/>
      <c r="B48" s="83" t="s">
        <v>317</v>
      </c>
      <c r="L48" s="287">
        <f>((SUM(F45:L47)*0.166)*-1)-SUM(F48:K48)</f>
        <v>-3578.1100800000004</v>
      </c>
      <c r="Q48" s="210">
        <f>((SUM(R45:R47)*0.166)*-1)-SUM(F48:P48)</f>
        <v>0</v>
      </c>
      <c r="R48" s="268">
        <f t="shared" si="19"/>
        <v>-3578.1100800000004</v>
      </c>
      <c r="S48" s="243"/>
    </row>
    <row r="49" spans="1:24" ht="13.8" x14ac:dyDescent="0.25">
      <c r="A49" s="246" t="s">
        <v>284</v>
      </c>
      <c r="B49" s="230" t="s">
        <v>339</v>
      </c>
      <c r="C49" s="320">
        <f>+'BudgerandActual Spend 24-25'!I32</f>
        <v>15000</v>
      </c>
      <c r="D49" s="319">
        <f>+'Spend Jan-Mar25'!H90</f>
        <v>500</v>
      </c>
      <c r="E49" s="318">
        <f>+D49+C49</f>
        <v>15500</v>
      </c>
      <c r="F49" s="231">
        <f>SUM(F45:F48)</f>
        <v>0</v>
      </c>
      <c r="G49" s="231">
        <f>SUM(G45:G48)</f>
        <v>6805.2</v>
      </c>
      <c r="H49" s="231">
        <f>SUM(H45:H48)</f>
        <v>0</v>
      </c>
      <c r="I49" s="231">
        <f>SUM(I45:I48)</f>
        <v>13968</v>
      </c>
      <c r="J49" s="231">
        <f>SUM(J45:J48)</f>
        <v>781.68</v>
      </c>
      <c r="K49" s="231">
        <f t="shared" ref="K49:P49" si="20">SUM(K45:K48)</f>
        <v>0</v>
      </c>
      <c r="L49" s="231">
        <f t="shared" si="20"/>
        <v>-3578.1100800000004</v>
      </c>
      <c r="M49" s="231">
        <f t="shared" si="20"/>
        <v>0</v>
      </c>
      <c r="N49" s="247">
        <f t="shared" si="20"/>
        <v>0</v>
      </c>
      <c r="O49" s="247">
        <f t="shared" si="20"/>
        <v>0</v>
      </c>
      <c r="P49" s="247">
        <f t="shared" si="20"/>
        <v>0</v>
      </c>
      <c r="Q49" s="247">
        <f>SUM(Q45:Q48)</f>
        <v>0</v>
      </c>
      <c r="R49" s="314">
        <f>SUM(F49:Q49)</f>
        <v>17976.769919999999</v>
      </c>
      <c r="S49" s="308">
        <f>+E49-R49</f>
        <v>-2476.7699199999988</v>
      </c>
      <c r="T49" s="29"/>
      <c r="U49" s="292">
        <v>10000</v>
      </c>
      <c r="V49" s="15" t="s">
        <v>316</v>
      </c>
    </row>
    <row r="50" spans="1:24" ht="13.8" x14ac:dyDescent="0.25">
      <c r="A50" s="259" t="s">
        <v>281</v>
      </c>
      <c r="B50" s="83" t="s">
        <v>26</v>
      </c>
      <c r="M50" s="211">
        <v>184</v>
      </c>
      <c r="R50" s="268">
        <f t="shared" ref="R50:R51" si="21">SUM(F50:Q50)</f>
        <v>184</v>
      </c>
    </row>
    <row r="51" spans="1:24" ht="13.8" x14ac:dyDescent="0.25">
      <c r="A51" s="259" t="s">
        <v>281</v>
      </c>
      <c r="B51" s="202" t="s">
        <v>247</v>
      </c>
      <c r="C51" s="254"/>
      <c r="D51" s="254"/>
      <c r="E51" s="254"/>
      <c r="F51" s="255"/>
      <c r="G51" s="255"/>
      <c r="H51" s="255"/>
      <c r="I51" s="249">
        <v>25</v>
      </c>
      <c r="J51" s="255"/>
      <c r="K51" s="277"/>
      <c r="R51" s="268">
        <f t="shared" si="21"/>
        <v>25</v>
      </c>
    </row>
    <row r="52" spans="1:24" ht="13.8" x14ac:dyDescent="0.25">
      <c r="A52" s="246" t="s">
        <v>281</v>
      </c>
      <c r="B52" s="230" t="s">
        <v>340</v>
      </c>
      <c r="C52" s="320">
        <f>+'BudgerandActual Spend 24-25'!I36</f>
        <v>260</v>
      </c>
      <c r="D52" s="319">
        <f>+'Spend Jan-Mar25'!H102</f>
        <v>-40</v>
      </c>
      <c r="E52" s="318">
        <f>+D52+C52</f>
        <v>220</v>
      </c>
      <c r="F52" s="231">
        <f t="shared" ref="F52" si="22">SUM(F50:F50)</f>
        <v>0</v>
      </c>
      <c r="G52" s="231">
        <f t="shared" ref="G52:H52" si="23">SUM(G50:G51)</f>
        <v>0</v>
      </c>
      <c r="H52" s="231">
        <f t="shared" si="23"/>
        <v>0</v>
      </c>
      <c r="I52" s="231">
        <f>SUM(I50:I51)</f>
        <v>25</v>
      </c>
      <c r="J52" s="231">
        <f>SUM(J50:J51)</f>
        <v>0</v>
      </c>
      <c r="K52" s="231">
        <f>SUM(K50:K51)</f>
        <v>0</v>
      </c>
      <c r="L52" s="231">
        <f t="shared" ref="L52:Q52" si="24">SUM(L50:L51)</f>
        <v>0</v>
      </c>
      <c r="M52" s="231">
        <f t="shared" si="24"/>
        <v>184</v>
      </c>
      <c r="N52" s="247">
        <f t="shared" si="24"/>
        <v>0</v>
      </c>
      <c r="O52" s="247">
        <f t="shared" si="24"/>
        <v>0</v>
      </c>
      <c r="P52" s="247">
        <f t="shared" si="24"/>
        <v>0</v>
      </c>
      <c r="Q52" s="247">
        <f t="shared" si="24"/>
        <v>0</v>
      </c>
      <c r="R52" s="314">
        <f>SUM(F52:Q52)</f>
        <v>209</v>
      </c>
      <c r="S52" s="232">
        <f>+E52-R52</f>
        <v>11</v>
      </c>
      <c r="T52" s="29"/>
      <c r="U52" s="285">
        <f>+ROUND(R52*Inflation_Rate,0)</f>
        <v>217</v>
      </c>
    </row>
    <row r="53" spans="1:24" ht="12.6" customHeight="1" x14ac:dyDescent="0.25">
      <c r="A53" s="199" t="s">
        <v>358</v>
      </c>
      <c r="B53" s="199"/>
      <c r="C53" s="115">
        <f t="shared" ref="C53:S53" si="25">+C5+C7+C12+C17+C21+C26+C28+C30+C33+C35+C38+C42+C44+C49+C52+C40</f>
        <v>35479.199999999997</v>
      </c>
      <c r="D53" s="115">
        <f t="shared" si="25"/>
        <v>-225.30000000000018</v>
      </c>
      <c r="E53" s="115">
        <f t="shared" si="25"/>
        <v>35253.9</v>
      </c>
      <c r="F53" s="115">
        <f t="shared" si="25"/>
        <v>1473.06</v>
      </c>
      <c r="G53" s="115">
        <f t="shared" si="25"/>
        <v>8562.619999999999</v>
      </c>
      <c r="H53" s="115">
        <f t="shared" si="25"/>
        <v>761.16</v>
      </c>
      <c r="I53" s="115">
        <f t="shared" si="25"/>
        <v>15623.41</v>
      </c>
      <c r="J53" s="115">
        <f t="shared" si="25"/>
        <v>2105.34</v>
      </c>
      <c r="K53" s="115">
        <f t="shared" si="25"/>
        <v>913.58</v>
      </c>
      <c r="L53" s="115">
        <f t="shared" si="25"/>
        <v>-2042.1574200000005</v>
      </c>
      <c r="M53" s="115">
        <f t="shared" si="25"/>
        <v>1004.5</v>
      </c>
      <c r="N53" s="115">
        <f t="shared" si="25"/>
        <v>1445.5</v>
      </c>
      <c r="O53" s="115">
        <f t="shared" si="25"/>
        <v>1580.5</v>
      </c>
      <c r="P53" s="115">
        <f t="shared" si="25"/>
        <v>920.5</v>
      </c>
      <c r="Q53" s="115">
        <f t="shared" si="25"/>
        <v>1759.5149999999999</v>
      </c>
      <c r="R53" s="200">
        <f t="shared" si="25"/>
        <v>34107.527579999994</v>
      </c>
      <c r="S53" s="115">
        <f t="shared" si="25"/>
        <v>1146.3724200000061</v>
      </c>
      <c r="T53" s="115"/>
      <c r="U53" s="200">
        <f>SUM(U5:U52)</f>
        <v>31713</v>
      </c>
    </row>
    <row r="54" spans="1:24" ht="12.6" customHeight="1" x14ac:dyDescent="0.25"/>
    <row r="55" spans="1:24" ht="27.6" customHeight="1" x14ac:dyDescent="0.25">
      <c r="A55" s="407" t="s">
        <v>341</v>
      </c>
      <c r="B55" s="407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</row>
    <row r="56" spans="1:24" ht="13.8" x14ac:dyDescent="0.25">
      <c r="A56" s="257" t="s">
        <v>282</v>
      </c>
      <c r="B56" s="83" t="s">
        <v>292</v>
      </c>
      <c r="J56" s="211">
        <v>980.4</v>
      </c>
      <c r="R56" s="268">
        <f t="shared" ref="R56:R72" si="26">SUM(F56:Q56)</f>
        <v>980.4</v>
      </c>
      <c r="X56" s="6"/>
    </row>
    <row r="57" spans="1:24" ht="13.8" x14ac:dyDescent="0.25">
      <c r="A57" s="296"/>
      <c r="B57" s="83" t="s">
        <v>317</v>
      </c>
      <c r="L57" s="287">
        <f>((SUM(F56:L56)*0.166)*-1)-SUM(F57:K57)</f>
        <v>-162.74639999999999</v>
      </c>
      <c r="Q57" s="210">
        <f>((SUM(R56)*0.166)*-1)-SUM(F57:P57)</f>
        <v>0</v>
      </c>
      <c r="R57" s="268">
        <f t="shared" si="26"/>
        <v>-162.74639999999999</v>
      </c>
    </row>
    <row r="58" spans="1:24" ht="13.8" x14ac:dyDescent="0.25">
      <c r="A58" s="246"/>
      <c r="B58" s="230" t="s">
        <v>342</v>
      </c>
      <c r="C58" s="320">
        <f>+'BudgerandActual Spend 24-25'!I23</f>
        <v>833</v>
      </c>
      <c r="D58" s="319">
        <f>+'Spend Jan-Mar25'!H62</f>
        <v>800</v>
      </c>
      <c r="E58" s="318">
        <f>+D58+C58</f>
        <v>1633</v>
      </c>
      <c r="F58" s="231">
        <f t="shared" ref="F58" si="27">SUM(F56:F57)</f>
        <v>0</v>
      </c>
      <c r="G58" s="231">
        <f t="shared" ref="G58:P58" si="28">SUM(G56:G57)</f>
        <v>0</v>
      </c>
      <c r="H58" s="231">
        <f t="shared" si="28"/>
        <v>0</v>
      </c>
      <c r="I58" s="231">
        <f t="shared" si="28"/>
        <v>0</v>
      </c>
      <c r="J58" s="231">
        <f t="shared" si="28"/>
        <v>980.4</v>
      </c>
      <c r="K58" s="231">
        <f t="shared" si="28"/>
        <v>0</v>
      </c>
      <c r="L58" s="231">
        <f t="shared" si="28"/>
        <v>-162.74639999999999</v>
      </c>
      <c r="M58" s="231">
        <f t="shared" si="28"/>
        <v>0</v>
      </c>
      <c r="N58" s="247">
        <f t="shared" si="28"/>
        <v>0</v>
      </c>
      <c r="O58" s="247">
        <f t="shared" si="28"/>
        <v>0</v>
      </c>
      <c r="P58" s="247">
        <f t="shared" si="28"/>
        <v>0</v>
      </c>
      <c r="Q58" s="247">
        <f>SUM(Q56:Q57)</f>
        <v>0</v>
      </c>
      <c r="R58" s="314">
        <f t="shared" si="26"/>
        <v>817.65359999999998</v>
      </c>
      <c r="S58" s="308">
        <f>+E58-R58</f>
        <v>815.34640000000002</v>
      </c>
      <c r="T58" s="29"/>
      <c r="U58" s="285">
        <f>+ROUND(R58*Inflation_Rate,0)</f>
        <v>850</v>
      </c>
    </row>
    <row r="59" spans="1:24" ht="13.8" x14ac:dyDescent="0.25">
      <c r="A59" s="259" t="s">
        <v>282</v>
      </c>
      <c r="B59" s="83" t="s">
        <v>7</v>
      </c>
      <c r="N59" s="210">
        <v>250</v>
      </c>
      <c r="R59" s="268">
        <f t="shared" si="26"/>
        <v>250</v>
      </c>
      <c r="S59" s="243"/>
      <c r="T59" t="s">
        <v>293</v>
      </c>
    </row>
    <row r="60" spans="1:24" ht="13.8" x14ac:dyDescent="0.25">
      <c r="A60" s="246"/>
      <c r="B60" s="230" t="s">
        <v>343</v>
      </c>
      <c r="C60" s="320">
        <f>+'BudgerandActual Spend 24-25'!I24</f>
        <v>250</v>
      </c>
      <c r="D60" s="319">
        <f>+'Spend Jan-Mar25'!H65</f>
        <v>0</v>
      </c>
      <c r="E60" s="318">
        <f>+D60+C60</f>
        <v>250</v>
      </c>
      <c r="F60" s="231">
        <f t="shared" ref="F60:Q60" si="29">SUM(F59:F59)</f>
        <v>0</v>
      </c>
      <c r="G60" s="231">
        <f t="shared" si="29"/>
        <v>0</v>
      </c>
      <c r="H60" s="231">
        <f t="shared" si="29"/>
        <v>0</v>
      </c>
      <c r="I60" s="231">
        <f t="shared" si="29"/>
        <v>0</v>
      </c>
      <c r="J60" s="231">
        <f t="shared" si="29"/>
        <v>0</v>
      </c>
      <c r="K60" s="231">
        <f t="shared" si="29"/>
        <v>0</v>
      </c>
      <c r="L60" s="231">
        <f t="shared" si="29"/>
        <v>0</v>
      </c>
      <c r="M60" s="231">
        <f t="shared" si="29"/>
        <v>0</v>
      </c>
      <c r="N60" s="247">
        <f t="shared" si="29"/>
        <v>250</v>
      </c>
      <c r="O60" s="247">
        <f t="shared" si="29"/>
        <v>0</v>
      </c>
      <c r="P60" s="247">
        <f t="shared" si="29"/>
        <v>0</v>
      </c>
      <c r="Q60" s="247">
        <f t="shared" si="29"/>
        <v>0</v>
      </c>
      <c r="R60" s="314">
        <f t="shared" si="26"/>
        <v>250</v>
      </c>
      <c r="S60" s="308">
        <f>+E60-R60</f>
        <v>0</v>
      </c>
      <c r="T60" s="29"/>
      <c r="U60" s="285">
        <f>+ROUND(R60*Inflation_Rate,0)</f>
        <v>260</v>
      </c>
    </row>
    <row r="61" spans="1:24" ht="13.8" x14ac:dyDescent="0.25">
      <c r="A61" s="259" t="s">
        <v>282</v>
      </c>
      <c r="B61" s="83" t="s">
        <v>13</v>
      </c>
      <c r="N61" s="210">
        <v>25</v>
      </c>
      <c r="R61" s="268">
        <f t="shared" si="26"/>
        <v>25</v>
      </c>
      <c r="S61" s="243"/>
      <c r="U61" s="271"/>
    </row>
    <row r="62" spans="1:24" ht="13.8" x14ac:dyDescent="0.25">
      <c r="A62" s="246"/>
      <c r="B62" s="230" t="s">
        <v>344</v>
      </c>
      <c r="C62" s="320">
        <f>+'BudgerandActual Spend 24-25'!I25</f>
        <v>31</v>
      </c>
      <c r="D62" s="319">
        <f>+'Spend Jan-Mar25'!H68</f>
        <v>0</v>
      </c>
      <c r="E62" s="318">
        <f>+D62+C62</f>
        <v>31</v>
      </c>
      <c r="F62" s="231">
        <f t="shared" ref="F62:Q62" si="30">SUM(F61:F61)</f>
        <v>0</v>
      </c>
      <c r="G62" s="231">
        <f t="shared" si="30"/>
        <v>0</v>
      </c>
      <c r="H62" s="231">
        <f t="shared" si="30"/>
        <v>0</v>
      </c>
      <c r="I62" s="231">
        <f t="shared" si="30"/>
        <v>0</v>
      </c>
      <c r="J62" s="231">
        <f t="shared" si="30"/>
        <v>0</v>
      </c>
      <c r="K62" s="231">
        <f t="shared" si="30"/>
        <v>0</v>
      </c>
      <c r="L62" s="231">
        <f t="shared" si="30"/>
        <v>0</v>
      </c>
      <c r="M62" s="231">
        <f t="shared" si="30"/>
        <v>0</v>
      </c>
      <c r="N62" s="247">
        <f t="shared" si="30"/>
        <v>25</v>
      </c>
      <c r="O62" s="247">
        <f t="shared" si="30"/>
        <v>0</v>
      </c>
      <c r="P62" s="247">
        <f t="shared" si="30"/>
        <v>0</v>
      </c>
      <c r="Q62" s="247">
        <f t="shared" si="30"/>
        <v>0</v>
      </c>
      <c r="R62" s="314">
        <f t="shared" si="26"/>
        <v>25</v>
      </c>
      <c r="S62" s="308">
        <f>+E62-R62</f>
        <v>6</v>
      </c>
      <c r="T62" s="29"/>
      <c r="U62" s="285">
        <f>+ROUND(R62*Inflation_Rate,0)</f>
        <v>26</v>
      </c>
    </row>
    <row r="63" spans="1:24" ht="13.8" x14ac:dyDescent="0.25">
      <c r="A63" s="260" t="s">
        <v>282</v>
      </c>
      <c r="B63" s="83" t="s">
        <v>15</v>
      </c>
      <c r="N63" s="210">
        <v>260</v>
      </c>
      <c r="R63" s="268">
        <f t="shared" si="26"/>
        <v>260</v>
      </c>
      <c r="S63" s="243"/>
      <c r="U63" s="271"/>
    </row>
    <row r="64" spans="1:24" ht="13.8" x14ac:dyDescent="0.25">
      <c r="A64" s="246"/>
      <c r="B64" s="230" t="s">
        <v>345</v>
      </c>
      <c r="C64" s="320">
        <f>+'BudgerandActual Spend 24-25'!I26</f>
        <v>260</v>
      </c>
      <c r="D64" s="319">
        <f>+'Spend Jan-Mar25'!H71</f>
        <v>0</v>
      </c>
      <c r="E64" s="318">
        <f>+D64+C64</f>
        <v>260</v>
      </c>
      <c r="F64" s="231">
        <f t="shared" ref="F64:Q64" si="31">SUM(F63:F63)</f>
        <v>0</v>
      </c>
      <c r="G64" s="231">
        <f t="shared" si="31"/>
        <v>0</v>
      </c>
      <c r="H64" s="231">
        <f t="shared" si="31"/>
        <v>0</v>
      </c>
      <c r="I64" s="231">
        <f t="shared" si="31"/>
        <v>0</v>
      </c>
      <c r="J64" s="231">
        <f t="shared" si="31"/>
        <v>0</v>
      </c>
      <c r="K64" s="231">
        <f t="shared" si="31"/>
        <v>0</v>
      </c>
      <c r="L64" s="231">
        <f t="shared" si="31"/>
        <v>0</v>
      </c>
      <c r="M64" s="231">
        <f t="shared" si="31"/>
        <v>0</v>
      </c>
      <c r="N64" s="247">
        <f t="shared" si="31"/>
        <v>260</v>
      </c>
      <c r="O64" s="247">
        <f t="shared" si="31"/>
        <v>0</v>
      </c>
      <c r="P64" s="247">
        <f t="shared" si="31"/>
        <v>0</v>
      </c>
      <c r="Q64" s="247">
        <f t="shared" si="31"/>
        <v>0</v>
      </c>
      <c r="R64" s="314">
        <f t="shared" si="26"/>
        <v>260</v>
      </c>
      <c r="S64" s="308">
        <f>+E64-R64</f>
        <v>0</v>
      </c>
      <c r="T64" s="29"/>
      <c r="U64" s="285">
        <f>+ROUND(R64*Inflation_Rate,0)</f>
        <v>270</v>
      </c>
    </row>
    <row r="65" spans="1:22" ht="13.8" x14ac:dyDescent="0.25">
      <c r="A65" s="259" t="s">
        <v>282</v>
      </c>
      <c r="B65" s="83" t="s">
        <v>20</v>
      </c>
      <c r="I65" s="211">
        <v>500</v>
      </c>
      <c r="R65" s="268">
        <f t="shared" si="26"/>
        <v>500</v>
      </c>
      <c r="S65" s="243"/>
      <c r="U65" s="271"/>
    </row>
    <row r="66" spans="1:22" ht="13.8" x14ac:dyDescent="0.25">
      <c r="A66" s="246"/>
      <c r="B66" s="230" t="s">
        <v>346</v>
      </c>
      <c r="C66" s="320">
        <f>+'BudgerandActual Spend 24-25'!I27</f>
        <v>521</v>
      </c>
      <c r="D66" s="319">
        <f>+'Spend Jan-Mar25'!H74</f>
        <v>0</v>
      </c>
      <c r="E66" s="318">
        <f>+D66+C66</f>
        <v>521</v>
      </c>
      <c r="F66" s="231">
        <f t="shared" ref="F66:Q66" si="32">SUM(F65:F65)</f>
        <v>0</v>
      </c>
      <c r="G66" s="231">
        <f t="shared" si="32"/>
        <v>0</v>
      </c>
      <c r="H66" s="231">
        <f t="shared" si="32"/>
        <v>0</v>
      </c>
      <c r="I66" s="231">
        <f t="shared" si="32"/>
        <v>500</v>
      </c>
      <c r="J66" s="231">
        <f t="shared" si="32"/>
        <v>0</v>
      </c>
      <c r="K66" s="231">
        <f t="shared" si="32"/>
        <v>0</v>
      </c>
      <c r="L66" s="231">
        <f t="shared" si="32"/>
        <v>0</v>
      </c>
      <c r="M66" s="231">
        <f t="shared" si="32"/>
        <v>0</v>
      </c>
      <c r="N66" s="247">
        <f t="shared" si="32"/>
        <v>0</v>
      </c>
      <c r="O66" s="247">
        <f t="shared" si="32"/>
        <v>0</v>
      </c>
      <c r="P66" s="247">
        <f t="shared" si="32"/>
        <v>0</v>
      </c>
      <c r="Q66" s="247">
        <f t="shared" si="32"/>
        <v>0</v>
      </c>
      <c r="R66" s="314">
        <f t="shared" si="26"/>
        <v>500</v>
      </c>
      <c r="S66" s="308">
        <f>+E66-R66</f>
        <v>21</v>
      </c>
      <c r="T66" s="29"/>
      <c r="U66" s="285">
        <f>+ROUND(R66*Inflation_Rate,0)</f>
        <v>520</v>
      </c>
    </row>
    <row r="67" spans="1:22" ht="13.8" x14ac:dyDescent="0.25">
      <c r="A67" s="259" t="s">
        <v>282</v>
      </c>
      <c r="B67" s="83" t="s">
        <v>154</v>
      </c>
      <c r="N67" s="210">
        <v>260</v>
      </c>
      <c r="R67" s="268">
        <f t="shared" si="26"/>
        <v>260</v>
      </c>
      <c r="U67" s="271"/>
    </row>
    <row r="68" spans="1:22" ht="13.8" x14ac:dyDescent="0.25">
      <c r="A68" s="246" t="s">
        <v>282</v>
      </c>
      <c r="B68" s="230" t="s">
        <v>347</v>
      </c>
      <c r="C68" s="320">
        <f>+'BudgerandActual Spend 24-25'!I29</f>
        <v>260</v>
      </c>
      <c r="D68" s="319">
        <f>+'Spend Jan-Mar25'!H80</f>
        <v>0</v>
      </c>
      <c r="E68" s="318">
        <f>+D68+C68</f>
        <v>260</v>
      </c>
      <c r="F68" s="231">
        <f t="shared" ref="F68:Q68" si="33">SUM(F67:F67)</f>
        <v>0</v>
      </c>
      <c r="G68" s="231">
        <f t="shared" si="33"/>
        <v>0</v>
      </c>
      <c r="H68" s="231">
        <f t="shared" si="33"/>
        <v>0</v>
      </c>
      <c r="I68" s="231">
        <f t="shared" si="33"/>
        <v>0</v>
      </c>
      <c r="J68" s="231">
        <f t="shared" si="33"/>
        <v>0</v>
      </c>
      <c r="K68" s="231">
        <f t="shared" si="33"/>
        <v>0</v>
      </c>
      <c r="L68" s="231">
        <f t="shared" si="33"/>
        <v>0</v>
      </c>
      <c r="M68" s="231">
        <f t="shared" si="33"/>
        <v>0</v>
      </c>
      <c r="N68" s="247">
        <f t="shared" si="33"/>
        <v>260</v>
      </c>
      <c r="O68" s="247">
        <f t="shared" si="33"/>
        <v>0</v>
      </c>
      <c r="P68" s="247">
        <f t="shared" si="33"/>
        <v>0</v>
      </c>
      <c r="Q68" s="247">
        <f t="shared" si="33"/>
        <v>0</v>
      </c>
      <c r="R68" s="314">
        <f t="shared" si="26"/>
        <v>260</v>
      </c>
      <c r="S68" s="308">
        <f>+E68-R68</f>
        <v>0</v>
      </c>
      <c r="T68" s="29"/>
      <c r="U68" s="285">
        <f>+ROUND(R68*Inflation_Rate,0)</f>
        <v>270</v>
      </c>
    </row>
    <row r="69" spans="1:22" ht="13.8" x14ac:dyDescent="0.25">
      <c r="A69" s="257" t="s">
        <v>282</v>
      </c>
      <c r="B69" s="83" t="s">
        <v>299</v>
      </c>
      <c r="Q69" s="210">
        <v>500</v>
      </c>
      <c r="R69" s="268">
        <f t="shared" si="26"/>
        <v>500</v>
      </c>
      <c r="U69" s="271"/>
    </row>
    <row r="70" spans="1:22" ht="13.8" x14ac:dyDescent="0.25">
      <c r="A70" s="296"/>
      <c r="B70" s="83" t="s">
        <v>317</v>
      </c>
      <c r="L70" s="287">
        <f>((SUM(F69:L69)*0.166)*-1)-SUM(F70:K70)</f>
        <v>0</v>
      </c>
      <c r="Q70" s="210">
        <f>((SUM(R69)*0.166)*-1)-SUM(F70:P70)</f>
        <v>-83</v>
      </c>
      <c r="R70" s="268">
        <f t="shared" si="26"/>
        <v>-83</v>
      </c>
      <c r="U70" s="271"/>
    </row>
    <row r="71" spans="1:22" ht="13.8" x14ac:dyDescent="0.25">
      <c r="A71" s="246" t="s">
        <v>282</v>
      </c>
      <c r="B71" s="230" t="s">
        <v>348</v>
      </c>
      <c r="C71" s="320">
        <f>+'BudgerandActual Spend 24-25'!I31</f>
        <v>500</v>
      </c>
      <c r="D71" s="319">
        <f>+'Spend Jan-Mar25'!H86</f>
        <v>0</v>
      </c>
      <c r="E71" s="318">
        <f>+D71+C71</f>
        <v>500</v>
      </c>
      <c r="F71" s="231">
        <f t="shared" ref="F71" si="34">SUM(F69:F70)</f>
        <v>0</v>
      </c>
      <c r="G71" s="231">
        <f t="shared" ref="G71:P71" si="35">SUM(G69:G70)</f>
        <v>0</v>
      </c>
      <c r="H71" s="231">
        <f t="shared" si="35"/>
        <v>0</v>
      </c>
      <c r="I71" s="231">
        <f t="shared" si="35"/>
        <v>0</v>
      </c>
      <c r="J71" s="231">
        <f t="shared" si="35"/>
        <v>0</v>
      </c>
      <c r="K71" s="231">
        <f t="shared" si="35"/>
        <v>0</v>
      </c>
      <c r="L71" s="231">
        <f t="shared" si="35"/>
        <v>0</v>
      </c>
      <c r="M71" s="231">
        <f t="shared" si="35"/>
        <v>0</v>
      </c>
      <c r="N71" s="247">
        <f t="shared" si="35"/>
        <v>0</v>
      </c>
      <c r="O71" s="247">
        <f t="shared" si="35"/>
        <v>0</v>
      </c>
      <c r="P71" s="247">
        <f t="shared" si="35"/>
        <v>0</v>
      </c>
      <c r="Q71" s="247">
        <f>SUM(Q69:Q70)</f>
        <v>417</v>
      </c>
      <c r="R71" s="314">
        <f t="shared" si="26"/>
        <v>417</v>
      </c>
      <c r="S71" s="308">
        <f>+E71-R71</f>
        <v>83</v>
      </c>
      <c r="T71" s="29"/>
      <c r="U71" s="285">
        <f>+ROUND(R71*Inflation_Rate,0)</f>
        <v>434</v>
      </c>
    </row>
    <row r="72" spans="1:22" ht="13.8" x14ac:dyDescent="0.25">
      <c r="A72" s="257" t="s">
        <v>282</v>
      </c>
      <c r="B72" s="83" t="s">
        <v>23</v>
      </c>
      <c r="F72" s="258">
        <v>18.23</v>
      </c>
      <c r="G72" s="211">
        <v>17.64</v>
      </c>
      <c r="J72" s="211">
        <v>54.23</v>
      </c>
      <c r="N72" s="210">
        <v>19</v>
      </c>
      <c r="O72" s="210">
        <v>19</v>
      </c>
      <c r="P72" s="210">
        <v>19</v>
      </c>
      <c r="Q72" s="210">
        <v>19</v>
      </c>
      <c r="R72" s="268">
        <f t="shared" si="26"/>
        <v>166.1</v>
      </c>
      <c r="U72" s="271"/>
    </row>
    <row r="73" spans="1:22" ht="13.8" x14ac:dyDescent="0.25">
      <c r="A73" s="296"/>
      <c r="B73" s="83" t="s">
        <v>317</v>
      </c>
      <c r="L73" s="287">
        <f>((SUM(F72:L72)*0.166)*-1)-SUM(F73:K73)</f>
        <v>-14.9566</v>
      </c>
      <c r="Q73" s="210">
        <f>((SUM(R72)*0.166)*-1)-SUM(F73:P73)</f>
        <v>-12.616000000000001</v>
      </c>
      <c r="R73" s="268">
        <f t="shared" ref="R73:R74" si="36">SUM(F73:Q73)</f>
        <v>-27.572600000000001</v>
      </c>
      <c r="U73" s="271"/>
    </row>
    <row r="74" spans="1:22" ht="13.8" x14ac:dyDescent="0.25">
      <c r="A74" s="246" t="s">
        <v>282</v>
      </c>
      <c r="B74" s="230" t="s">
        <v>349</v>
      </c>
      <c r="C74" s="320">
        <f>+'BudgerandActual Spend 24-25'!I34</f>
        <v>235</v>
      </c>
      <c r="D74" s="319">
        <f>+'Spend Jan-Mar25'!H96</f>
        <v>-25.620000000000005</v>
      </c>
      <c r="E74" s="318">
        <f>+D74+C74</f>
        <v>209.38</v>
      </c>
      <c r="F74" s="231">
        <f t="shared" ref="F74:L74" si="37">SUM(F72:F73)</f>
        <v>18.23</v>
      </c>
      <c r="G74" s="231">
        <f t="shared" si="37"/>
        <v>17.64</v>
      </c>
      <c r="H74" s="231">
        <f t="shared" si="37"/>
        <v>0</v>
      </c>
      <c r="I74" s="231">
        <f t="shared" si="37"/>
        <v>0</v>
      </c>
      <c r="J74" s="231">
        <f t="shared" si="37"/>
        <v>54.23</v>
      </c>
      <c r="K74" s="231">
        <f t="shared" si="37"/>
        <v>0</v>
      </c>
      <c r="L74" s="231">
        <f t="shared" si="37"/>
        <v>-14.9566</v>
      </c>
      <c r="M74" s="231">
        <v>0</v>
      </c>
      <c r="N74" s="247">
        <f t="shared" ref="N74" si="38">SUM(N72:N73)</f>
        <v>19</v>
      </c>
      <c r="O74" s="247">
        <v>0</v>
      </c>
      <c r="P74" s="247">
        <v>0</v>
      </c>
      <c r="Q74" s="247">
        <f>SUM(Q72:Q73)</f>
        <v>6.3839999999999986</v>
      </c>
      <c r="R74" s="314">
        <f t="shared" si="36"/>
        <v>100.5274</v>
      </c>
      <c r="S74" s="308">
        <f>+E74-R74</f>
        <v>108.8526</v>
      </c>
      <c r="T74" s="29"/>
      <c r="U74" s="285">
        <v>0</v>
      </c>
      <c r="V74" s="15" t="s">
        <v>352</v>
      </c>
    </row>
    <row r="75" spans="1:22" ht="13.8" x14ac:dyDescent="0.25">
      <c r="A75" s="113" t="s">
        <v>350</v>
      </c>
      <c r="B75" s="196"/>
      <c r="C75" s="322">
        <f>+C58+C60+C62+C64+C66+C68+C71+C74</f>
        <v>2890</v>
      </c>
      <c r="D75" s="322">
        <f>+D58+D60+D62+D64+D66+D68+D71+D74</f>
        <v>774.38</v>
      </c>
      <c r="E75" s="323">
        <f t="shared" ref="E75:S75" si="39">+E74+E71+E68+E66+E64+E62+E60+E58</f>
        <v>3664.38</v>
      </c>
      <c r="F75" s="212">
        <f t="shared" si="39"/>
        <v>18.23</v>
      </c>
      <c r="G75" s="212">
        <f t="shared" si="39"/>
        <v>17.64</v>
      </c>
      <c r="H75" s="212">
        <f t="shared" si="39"/>
        <v>0</v>
      </c>
      <c r="I75" s="212">
        <f t="shared" si="39"/>
        <v>500</v>
      </c>
      <c r="J75" s="212">
        <f t="shared" si="39"/>
        <v>1034.6299999999999</v>
      </c>
      <c r="K75" s="212">
        <f t="shared" si="39"/>
        <v>0</v>
      </c>
      <c r="L75" s="212">
        <f t="shared" si="39"/>
        <v>-177.703</v>
      </c>
      <c r="M75" s="212">
        <f t="shared" si="39"/>
        <v>0</v>
      </c>
      <c r="N75" s="212">
        <f t="shared" si="39"/>
        <v>814</v>
      </c>
      <c r="O75" s="212">
        <f t="shared" si="39"/>
        <v>0</v>
      </c>
      <c r="P75" s="212">
        <f t="shared" si="39"/>
        <v>0</v>
      </c>
      <c r="Q75" s="212">
        <f t="shared" si="39"/>
        <v>423.38400000000001</v>
      </c>
      <c r="R75" s="269">
        <f t="shared" si="39"/>
        <v>2630.181</v>
      </c>
      <c r="S75" s="307">
        <f t="shared" si="39"/>
        <v>1034.1990000000001</v>
      </c>
      <c r="T75" s="212"/>
      <c r="U75" s="275">
        <f>+U74+U71+U68+U66+U64+U62+U60+U58</f>
        <v>2630</v>
      </c>
    </row>
    <row r="76" spans="1:22" x14ac:dyDescent="0.25">
      <c r="A76" s="210"/>
      <c r="B76" s="210"/>
      <c r="C76" s="210"/>
      <c r="D76" s="210"/>
      <c r="E76" s="210"/>
      <c r="R76" s="268"/>
      <c r="S76" s="210"/>
    </row>
    <row r="77" spans="1:22" ht="13.8" x14ac:dyDescent="0.25">
      <c r="A77" s="407" t="s">
        <v>378</v>
      </c>
      <c r="B77" s="407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</row>
    <row r="78" spans="1:22" ht="13.8" x14ac:dyDescent="0.25">
      <c r="A78" s="259" t="s">
        <v>300</v>
      </c>
      <c r="B78" s="83" t="s">
        <v>237</v>
      </c>
      <c r="F78" s="258">
        <v>625</v>
      </c>
      <c r="G78" s="211">
        <v>625</v>
      </c>
      <c r="H78" s="211">
        <v>625</v>
      </c>
      <c r="I78" s="211">
        <v>650</v>
      </c>
      <c r="J78" s="211">
        <v>650</v>
      </c>
      <c r="K78" s="211">
        <v>650</v>
      </c>
      <c r="L78" s="211">
        <v>650</v>
      </c>
      <c r="M78" s="211">
        <v>650</v>
      </c>
      <c r="N78" s="210">
        <v>650</v>
      </c>
      <c r="O78" s="210">
        <v>650</v>
      </c>
      <c r="P78" s="210">
        <v>650</v>
      </c>
      <c r="Q78" s="210">
        <v>650</v>
      </c>
      <c r="R78" s="268">
        <f t="shared" ref="R78:R90" si="40">SUM(F78:Q78)</f>
        <v>7725</v>
      </c>
    </row>
    <row r="79" spans="1:22" ht="13.8" x14ac:dyDescent="0.25">
      <c r="A79" s="29"/>
      <c r="B79" s="230" t="s">
        <v>359</v>
      </c>
      <c r="C79" s="318">
        <f>+'BudgerandActual Spend 24-25'!I18</f>
        <v>7808</v>
      </c>
      <c r="D79" s="318">
        <f>+'Spend Jan-Mar25'!H47</f>
        <v>-625</v>
      </c>
      <c r="E79" s="318">
        <f>+D79+C79</f>
        <v>7183</v>
      </c>
      <c r="F79" s="231">
        <f t="shared" ref="F79:Q79" si="41">SUM(F78:F78)</f>
        <v>625</v>
      </c>
      <c r="G79" s="231">
        <f t="shared" si="41"/>
        <v>625</v>
      </c>
      <c r="H79" s="231">
        <f t="shared" si="41"/>
        <v>625</v>
      </c>
      <c r="I79" s="231">
        <f t="shared" si="41"/>
        <v>650</v>
      </c>
      <c r="J79" s="231">
        <f t="shared" si="41"/>
        <v>650</v>
      </c>
      <c r="K79" s="231">
        <f t="shared" si="41"/>
        <v>650</v>
      </c>
      <c r="L79" s="231">
        <f t="shared" si="41"/>
        <v>650</v>
      </c>
      <c r="M79" s="231">
        <f t="shared" si="41"/>
        <v>650</v>
      </c>
      <c r="N79" s="247">
        <f t="shared" si="41"/>
        <v>650</v>
      </c>
      <c r="O79" s="247">
        <f t="shared" si="41"/>
        <v>650</v>
      </c>
      <c r="P79" s="247">
        <f t="shared" si="41"/>
        <v>650</v>
      </c>
      <c r="Q79" s="247">
        <f t="shared" si="41"/>
        <v>650</v>
      </c>
      <c r="R79" s="314">
        <f t="shared" si="40"/>
        <v>7725</v>
      </c>
      <c r="S79" s="308">
        <f>+E79-R79</f>
        <v>-542</v>
      </c>
      <c r="T79" s="29"/>
      <c r="U79" s="285">
        <f>+ROUND(R79*110%,0)</f>
        <v>8498</v>
      </c>
      <c r="V79" s="331">
        <v>0.1</v>
      </c>
    </row>
    <row r="80" spans="1:22" ht="13.8" x14ac:dyDescent="0.25">
      <c r="A80" s="259" t="s">
        <v>300</v>
      </c>
      <c r="B80" s="83" t="s">
        <v>134</v>
      </c>
      <c r="J80" s="211">
        <v>300</v>
      </c>
      <c r="K80" s="211">
        <v>25</v>
      </c>
      <c r="R80" s="268">
        <f t="shared" si="40"/>
        <v>325</v>
      </c>
      <c r="T80" s="15" t="s">
        <v>301</v>
      </c>
    </row>
    <row r="81" spans="1:22" ht="13.8" x14ac:dyDescent="0.25">
      <c r="A81" s="259"/>
      <c r="B81" s="83" t="s">
        <v>385</v>
      </c>
      <c r="M81" s="211">
        <v>25</v>
      </c>
      <c r="O81" s="210">
        <v>25</v>
      </c>
      <c r="Q81" s="210">
        <v>25</v>
      </c>
      <c r="R81" s="268">
        <f t="shared" si="40"/>
        <v>75</v>
      </c>
      <c r="T81" s="15"/>
    </row>
    <row r="82" spans="1:22" ht="13.8" x14ac:dyDescent="0.25">
      <c r="A82" s="29"/>
      <c r="B82" s="230" t="s">
        <v>362</v>
      </c>
      <c r="C82" s="318">
        <f>+'BudgerandActual Spend 24-25'!I19</f>
        <v>521</v>
      </c>
      <c r="D82" s="318">
        <f>+'Spend Jan-Mar25'!H50</f>
        <v>400</v>
      </c>
      <c r="E82" s="318">
        <f>+D82+C82</f>
        <v>921</v>
      </c>
      <c r="F82" s="231">
        <f t="shared" ref="F82:P82" si="42">SUM(F80:F81)</f>
        <v>0</v>
      </c>
      <c r="G82" s="231">
        <f t="shared" si="42"/>
        <v>0</v>
      </c>
      <c r="H82" s="231">
        <f t="shared" si="42"/>
        <v>0</v>
      </c>
      <c r="I82" s="231">
        <f t="shared" si="42"/>
        <v>0</v>
      </c>
      <c r="J82" s="231">
        <f t="shared" si="42"/>
        <v>300</v>
      </c>
      <c r="K82" s="231">
        <f t="shared" si="42"/>
        <v>25</v>
      </c>
      <c r="L82" s="231">
        <f t="shared" si="42"/>
        <v>0</v>
      </c>
      <c r="M82" s="231">
        <f t="shared" si="42"/>
        <v>25</v>
      </c>
      <c r="N82" s="247">
        <f t="shared" si="42"/>
        <v>0</v>
      </c>
      <c r="O82" s="247">
        <f t="shared" si="42"/>
        <v>25</v>
      </c>
      <c r="P82" s="247">
        <f t="shared" si="42"/>
        <v>0</v>
      </c>
      <c r="Q82" s="247">
        <f>SUM(Q80:Q81)</f>
        <v>25</v>
      </c>
      <c r="R82" s="314">
        <f t="shared" si="40"/>
        <v>400</v>
      </c>
      <c r="S82" s="308">
        <f>+E82-R82</f>
        <v>521</v>
      </c>
      <c r="T82" s="29"/>
      <c r="U82" s="292">
        <f>+ROUND(R82*Inflation_Rate,0)</f>
        <v>416</v>
      </c>
    </row>
    <row r="83" spans="1:22" ht="13.8" x14ac:dyDescent="0.25">
      <c r="A83" s="259" t="s">
        <v>300</v>
      </c>
      <c r="B83" s="83" t="s">
        <v>386</v>
      </c>
      <c r="R83" s="268">
        <f t="shared" ref="R83:R84" si="43">SUM(F83:Q83)</f>
        <v>0</v>
      </c>
      <c r="S83" s="15"/>
    </row>
    <row r="84" spans="1:22" ht="13.8" x14ac:dyDescent="0.25">
      <c r="A84" s="272"/>
      <c r="B84" s="230" t="s">
        <v>363</v>
      </c>
      <c r="C84" s="318">
        <v>0</v>
      </c>
      <c r="D84" s="318">
        <v>0</v>
      </c>
      <c r="E84" s="318">
        <v>0</v>
      </c>
      <c r="F84" s="312">
        <f>SUM(F83)</f>
        <v>0</v>
      </c>
      <c r="G84" s="312">
        <f t="shared" ref="G84:Q84" si="44">SUM(G83)</f>
        <v>0</v>
      </c>
      <c r="H84" s="312">
        <f t="shared" si="44"/>
        <v>0</v>
      </c>
      <c r="I84" s="312">
        <f t="shared" si="44"/>
        <v>0</v>
      </c>
      <c r="J84" s="312">
        <f t="shared" si="44"/>
        <v>0</v>
      </c>
      <c r="K84" s="312">
        <f t="shared" si="44"/>
        <v>0</v>
      </c>
      <c r="L84" s="312">
        <f t="shared" si="44"/>
        <v>0</v>
      </c>
      <c r="M84" s="312">
        <f t="shared" si="44"/>
        <v>0</v>
      </c>
      <c r="N84" s="313">
        <f t="shared" si="44"/>
        <v>0</v>
      </c>
      <c r="O84" s="313">
        <f t="shared" si="44"/>
        <v>0</v>
      </c>
      <c r="P84" s="313">
        <f t="shared" si="44"/>
        <v>0</v>
      </c>
      <c r="Q84" s="313">
        <f t="shared" si="44"/>
        <v>0</v>
      </c>
      <c r="R84" s="314">
        <f t="shared" si="43"/>
        <v>0</v>
      </c>
      <c r="S84" s="308">
        <f>+E84-R84</f>
        <v>0</v>
      </c>
      <c r="T84" s="29">
        <f>IF(R84&gt;=0,R84,0)</f>
        <v>0</v>
      </c>
      <c r="U84" s="273">
        <v>2000</v>
      </c>
      <c r="V84" s="15" t="s">
        <v>315</v>
      </c>
    </row>
    <row r="85" spans="1:22" ht="13.8" x14ac:dyDescent="0.25">
      <c r="A85" s="257" t="s">
        <v>300</v>
      </c>
      <c r="B85" s="83" t="s">
        <v>22</v>
      </c>
      <c r="G85" s="211">
        <f>1008.22*2</f>
        <v>2016.44</v>
      </c>
      <c r="I85" s="211">
        <f>1337.93+1196.4</f>
        <v>2534.33</v>
      </c>
      <c r="J85" s="211">
        <v>944.81</v>
      </c>
      <c r="L85" s="211">
        <v>1196.4000000000001</v>
      </c>
      <c r="M85" s="211">
        <v>944.81</v>
      </c>
      <c r="Q85" s="210">
        <v>1000</v>
      </c>
      <c r="R85" s="268">
        <f t="shared" si="40"/>
        <v>8636.7899999999991</v>
      </c>
      <c r="T85" s="15"/>
    </row>
    <row r="86" spans="1:22" ht="13.8" x14ac:dyDescent="0.25">
      <c r="A86" s="296" t="s">
        <v>371</v>
      </c>
      <c r="B86" s="83" t="s">
        <v>317</v>
      </c>
      <c r="L86" s="287">
        <f>((SUM(F85:L85)*0.166)*-1)-SUM(F86:K86)</f>
        <v>-1110.86868</v>
      </c>
      <c r="Q86" s="210">
        <f>((SUM(R85)*0.166)*-1)-SUM(F86:P86)</f>
        <v>-322.83845999999994</v>
      </c>
      <c r="R86" s="268">
        <f t="shared" ref="R86:R87" si="45">SUM(F86:Q86)</f>
        <v>-1433.70714</v>
      </c>
      <c r="T86" s="15"/>
    </row>
    <row r="87" spans="1:22" ht="13.8" x14ac:dyDescent="0.25">
      <c r="A87" s="29"/>
      <c r="B87" s="230" t="s">
        <v>361</v>
      </c>
      <c r="C87" s="318">
        <f>+'BudgerandActual Spend 24-25'!I20</f>
        <v>7250</v>
      </c>
      <c r="D87" s="318">
        <f>+'Spend Jan-Mar25'!H53</f>
        <v>1803.42</v>
      </c>
      <c r="E87" s="318">
        <f>+D87+C87</f>
        <v>9053.42</v>
      </c>
      <c r="F87" s="231">
        <f t="shared" ref="F87:I87" si="46">SUM(F85:F86)</f>
        <v>0</v>
      </c>
      <c r="G87" s="231">
        <f t="shared" si="46"/>
        <v>2016.44</v>
      </c>
      <c r="H87" s="231">
        <f t="shared" si="46"/>
        <v>0</v>
      </c>
      <c r="I87" s="231">
        <f t="shared" si="46"/>
        <v>2534.33</v>
      </c>
      <c r="J87" s="231">
        <f>SUM(J85:J86)</f>
        <v>944.81</v>
      </c>
      <c r="K87" s="231">
        <f t="shared" ref="K87:P87" si="47">SUM(K85:K86)</f>
        <v>0</v>
      </c>
      <c r="L87" s="231">
        <f t="shared" si="47"/>
        <v>85.531320000000051</v>
      </c>
      <c r="M87" s="231">
        <f t="shared" si="47"/>
        <v>944.81</v>
      </c>
      <c r="N87" s="247">
        <f t="shared" si="47"/>
        <v>0</v>
      </c>
      <c r="O87" s="247">
        <f t="shared" si="47"/>
        <v>0</v>
      </c>
      <c r="P87" s="247">
        <f t="shared" si="47"/>
        <v>0</v>
      </c>
      <c r="Q87" s="247">
        <f>SUM(Q85:Q86)</f>
        <v>677.16154000000006</v>
      </c>
      <c r="R87" s="314">
        <f t="shared" si="45"/>
        <v>7203.0828599999995</v>
      </c>
      <c r="S87" s="308">
        <f>+E87-R87</f>
        <v>1850.3371400000005</v>
      </c>
      <c r="T87" s="246"/>
      <c r="U87" s="292">
        <f>+ROUND(R87*Inflation_Rate,0)</f>
        <v>7491</v>
      </c>
    </row>
    <row r="88" spans="1:22" ht="13.8" x14ac:dyDescent="0.25">
      <c r="A88" s="259" t="s">
        <v>300</v>
      </c>
      <c r="B88" s="83" t="s">
        <v>146</v>
      </c>
      <c r="P88" s="210">
        <v>1562</v>
      </c>
      <c r="R88" s="268">
        <f t="shared" si="40"/>
        <v>1562</v>
      </c>
      <c r="T88" s="15"/>
    </row>
    <row r="89" spans="1:22" ht="13.8" x14ac:dyDescent="0.25">
      <c r="A89" s="29"/>
      <c r="B89" s="230" t="s">
        <v>360</v>
      </c>
      <c r="C89" s="320">
        <f>+'BudgerandActual Spend 24-25'!I21</f>
        <v>1562</v>
      </c>
      <c r="D89" s="319">
        <f>+'Spend Jan-Mar25'!H56</f>
        <v>0</v>
      </c>
      <c r="E89" s="318">
        <f>+D89+C89</f>
        <v>1562</v>
      </c>
      <c r="F89" s="231">
        <f t="shared" ref="F89:Q89" si="48">SUM(F88:F88)</f>
        <v>0</v>
      </c>
      <c r="G89" s="231">
        <f t="shared" si="48"/>
        <v>0</v>
      </c>
      <c r="H89" s="231">
        <f t="shared" si="48"/>
        <v>0</v>
      </c>
      <c r="I89" s="231">
        <f t="shared" si="48"/>
        <v>0</v>
      </c>
      <c r="J89" s="231">
        <f t="shared" si="48"/>
        <v>0</v>
      </c>
      <c r="K89" s="231">
        <f t="shared" si="48"/>
        <v>0</v>
      </c>
      <c r="L89" s="231">
        <f t="shared" si="48"/>
        <v>0</v>
      </c>
      <c r="M89" s="231">
        <f t="shared" si="48"/>
        <v>0</v>
      </c>
      <c r="N89" s="247">
        <f t="shared" si="48"/>
        <v>0</v>
      </c>
      <c r="O89" s="247">
        <f t="shared" si="48"/>
        <v>0</v>
      </c>
      <c r="P89" s="247">
        <f t="shared" si="48"/>
        <v>1562</v>
      </c>
      <c r="Q89" s="247">
        <f t="shared" si="48"/>
        <v>0</v>
      </c>
      <c r="R89" s="314">
        <f t="shared" si="40"/>
        <v>1562</v>
      </c>
      <c r="S89" s="308">
        <f>+E89-R89</f>
        <v>0</v>
      </c>
      <c r="T89" s="29"/>
      <c r="U89" s="285">
        <f>+ROUND(R89*Inflation_Rate,0)</f>
        <v>1624</v>
      </c>
    </row>
    <row r="90" spans="1:22" ht="13.8" x14ac:dyDescent="0.25">
      <c r="A90" s="257" t="s">
        <v>284</v>
      </c>
      <c r="B90" s="83" t="s">
        <v>260</v>
      </c>
      <c r="J90" s="211">
        <v>1324.8</v>
      </c>
      <c r="R90" s="268">
        <f t="shared" si="40"/>
        <v>1324.8</v>
      </c>
      <c r="T90" s="15"/>
    </row>
    <row r="91" spans="1:22" ht="13.8" x14ac:dyDescent="0.25">
      <c r="A91" s="296" t="s">
        <v>371</v>
      </c>
      <c r="B91" s="83" t="s">
        <v>317</v>
      </c>
      <c r="L91" s="287">
        <f>((SUM(F90:L90)*0.166)*-1)-SUM(F91:K91)</f>
        <v>-219.91679999999999</v>
      </c>
      <c r="Q91" s="210">
        <f>((SUM(R90)*0.166)*-1)-SUM(F91:P91)</f>
        <v>0</v>
      </c>
      <c r="R91" s="268">
        <f t="shared" ref="R91:R92" si="49">SUM(F91:Q91)</f>
        <v>-219.91679999999999</v>
      </c>
      <c r="T91" s="15"/>
    </row>
    <row r="92" spans="1:22" ht="13.8" x14ac:dyDescent="0.25">
      <c r="A92" s="246" t="s">
        <v>284</v>
      </c>
      <c r="B92" s="230" t="s">
        <v>364</v>
      </c>
      <c r="C92" s="320">
        <f>+'BudgerandActual Spend 24-25'!I33</f>
        <v>600</v>
      </c>
      <c r="D92" s="319">
        <f>+'Spend Jan-Mar25'!H93</f>
        <v>-302.39999999999998</v>
      </c>
      <c r="E92" s="318">
        <f>+D92+C92</f>
        <v>297.60000000000002</v>
      </c>
      <c r="F92" s="231">
        <f t="shared" ref="F92:I92" si="50">SUM(F90:F91)</f>
        <v>0</v>
      </c>
      <c r="G92" s="231">
        <f t="shared" si="50"/>
        <v>0</v>
      </c>
      <c r="H92" s="231">
        <f t="shared" si="50"/>
        <v>0</v>
      </c>
      <c r="I92" s="231">
        <f t="shared" si="50"/>
        <v>0</v>
      </c>
      <c r="J92" s="231">
        <f>SUM(J90:J91)</f>
        <v>1324.8</v>
      </c>
      <c r="K92" s="231">
        <f t="shared" ref="K92:P92" si="51">SUM(K90:K91)</f>
        <v>0</v>
      </c>
      <c r="L92" s="231">
        <f t="shared" si="51"/>
        <v>-219.91679999999999</v>
      </c>
      <c r="M92" s="231">
        <f t="shared" si="51"/>
        <v>0</v>
      </c>
      <c r="N92" s="247">
        <f t="shared" si="51"/>
        <v>0</v>
      </c>
      <c r="O92" s="247">
        <f t="shared" si="51"/>
        <v>0</v>
      </c>
      <c r="P92" s="247">
        <f t="shared" si="51"/>
        <v>0</v>
      </c>
      <c r="Q92" s="247">
        <f>SUM(Q90:Q91)</f>
        <v>0</v>
      </c>
      <c r="R92" s="314">
        <f t="shared" si="49"/>
        <v>1104.8832</v>
      </c>
      <c r="S92" s="308">
        <f>+E92-R92</f>
        <v>-807.28319999999997</v>
      </c>
      <c r="T92" s="15" t="s">
        <v>297</v>
      </c>
      <c r="U92" s="285">
        <f>+ROUND(R92*Inflation_Rate,0)</f>
        <v>1149</v>
      </c>
    </row>
    <row r="93" spans="1:22" ht="13.8" x14ac:dyDescent="0.25">
      <c r="A93" s="113" t="s">
        <v>379</v>
      </c>
      <c r="B93" s="196"/>
      <c r="C93" s="324">
        <f t="shared" ref="C93:R93" si="52">+C92+C89+C87+C82+C79+C84</f>
        <v>17741</v>
      </c>
      <c r="D93" s="329">
        <f t="shared" si="52"/>
        <v>1276.02</v>
      </c>
      <c r="E93" s="329">
        <f t="shared" si="52"/>
        <v>19017.02</v>
      </c>
      <c r="F93" s="212">
        <f t="shared" si="52"/>
        <v>625</v>
      </c>
      <c r="G93" s="212">
        <f t="shared" si="52"/>
        <v>2641.44</v>
      </c>
      <c r="H93" s="212">
        <f t="shared" si="52"/>
        <v>625</v>
      </c>
      <c r="I93" s="212">
        <f t="shared" si="52"/>
        <v>3184.33</v>
      </c>
      <c r="J93" s="212">
        <f t="shared" si="52"/>
        <v>3219.6099999999997</v>
      </c>
      <c r="K93" s="212">
        <f t="shared" si="52"/>
        <v>675</v>
      </c>
      <c r="L93" s="212">
        <f t="shared" si="52"/>
        <v>515.61452000000008</v>
      </c>
      <c r="M93" s="212">
        <f t="shared" si="52"/>
        <v>1619.81</v>
      </c>
      <c r="N93" s="311">
        <f t="shared" si="52"/>
        <v>650</v>
      </c>
      <c r="O93" s="311">
        <f t="shared" si="52"/>
        <v>675</v>
      </c>
      <c r="P93" s="311">
        <f t="shared" si="52"/>
        <v>2212</v>
      </c>
      <c r="Q93" s="311">
        <f t="shared" si="52"/>
        <v>1352.1615400000001</v>
      </c>
      <c r="R93" s="269">
        <f t="shared" si="52"/>
        <v>17994.966059999999</v>
      </c>
      <c r="S93" s="307">
        <f t="shared" ref="S93" si="53">+S92+S89+S87+S82+S79</f>
        <v>1022.0539400000007</v>
      </c>
      <c r="T93" s="114"/>
      <c r="U93" s="199">
        <f>SUM(U78:U92)</f>
        <v>21178</v>
      </c>
    </row>
    <row r="94" spans="1:22" x14ac:dyDescent="0.25">
      <c r="A94" s="210"/>
      <c r="B94" s="210"/>
      <c r="C94" s="210"/>
      <c r="D94" s="210"/>
      <c r="E94" s="210"/>
      <c r="R94" s="268"/>
      <c r="S94" s="210"/>
    </row>
    <row r="95" spans="1:22" ht="13.8" x14ac:dyDescent="0.25">
      <c r="A95" s="113" t="s">
        <v>175</v>
      </c>
      <c r="B95" s="114"/>
      <c r="C95" s="114"/>
      <c r="D95" s="114"/>
      <c r="E95" s="114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69"/>
      <c r="S95" s="212"/>
      <c r="T95" s="212"/>
      <c r="U95" s="269"/>
    </row>
    <row r="96" spans="1:22" ht="13.8" x14ac:dyDescent="0.25">
      <c r="A96" s="78"/>
      <c r="B96" s="121" t="s">
        <v>365</v>
      </c>
      <c r="C96" s="290"/>
      <c r="D96" s="290"/>
      <c r="E96" s="290"/>
      <c r="F96" s="291"/>
      <c r="G96" s="291"/>
      <c r="H96" s="291"/>
      <c r="I96" s="291"/>
      <c r="J96" s="291"/>
      <c r="K96" s="291"/>
      <c r="L96" s="291"/>
      <c r="M96" s="291"/>
      <c r="N96" s="253"/>
      <c r="O96" s="253"/>
      <c r="P96" s="253"/>
      <c r="Q96" s="253"/>
      <c r="R96" s="268">
        <f t="shared" ref="R96:R97" si="54">SUM(F96:Q96)</f>
        <v>0</v>
      </c>
      <c r="S96" s="78"/>
      <c r="T96" s="78"/>
      <c r="U96" s="293">
        <v>1000</v>
      </c>
    </row>
    <row r="97" spans="1:21" ht="13.8" x14ac:dyDescent="0.25">
      <c r="A97" s="261"/>
      <c r="B97" s="202" t="s">
        <v>366</v>
      </c>
      <c r="C97" s="290"/>
      <c r="D97" s="290"/>
      <c r="E97" s="290"/>
      <c r="F97" s="291"/>
      <c r="G97" s="291">
        <v>3250</v>
      </c>
      <c r="H97" s="291"/>
      <c r="I97" s="291"/>
      <c r="J97" s="291"/>
      <c r="K97" s="291"/>
      <c r="L97" s="291"/>
      <c r="M97" s="291"/>
      <c r="N97" s="253"/>
      <c r="O97" s="253"/>
      <c r="P97" s="253"/>
      <c r="Q97" s="253"/>
      <c r="R97" s="268">
        <f t="shared" si="54"/>
        <v>3250</v>
      </c>
      <c r="S97" s="78"/>
      <c r="T97" s="78"/>
      <c r="U97" s="285">
        <f>+ROUND(R97*Inflation_Rate,0)</f>
        <v>3380</v>
      </c>
    </row>
    <row r="98" spans="1:21" ht="13.8" x14ac:dyDescent="0.25">
      <c r="A98" s="113" t="s">
        <v>309</v>
      </c>
      <c r="B98" s="193"/>
      <c r="C98" s="323">
        <v>4250</v>
      </c>
      <c r="D98" s="325">
        <f t="shared" ref="D98:Q98" si="55">SUM(D96:D97)</f>
        <v>0</v>
      </c>
      <c r="E98" s="323">
        <f>+D98+C98</f>
        <v>4250</v>
      </c>
      <c r="F98" s="219">
        <f t="shared" si="55"/>
        <v>0</v>
      </c>
      <c r="G98" s="219">
        <f t="shared" si="55"/>
        <v>3250</v>
      </c>
      <c r="H98" s="219">
        <f t="shared" si="55"/>
        <v>0</v>
      </c>
      <c r="I98" s="219">
        <f t="shared" si="55"/>
        <v>0</v>
      </c>
      <c r="J98" s="219">
        <f t="shared" si="55"/>
        <v>0</v>
      </c>
      <c r="K98" s="219">
        <f t="shared" si="55"/>
        <v>0</v>
      </c>
      <c r="L98" s="219">
        <f t="shared" si="55"/>
        <v>0</v>
      </c>
      <c r="M98" s="219">
        <f t="shared" si="55"/>
        <v>0</v>
      </c>
      <c r="N98" s="278">
        <f t="shared" si="55"/>
        <v>0</v>
      </c>
      <c r="O98" s="278">
        <f t="shared" si="55"/>
        <v>0</v>
      </c>
      <c r="P98" s="278">
        <f t="shared" si="55"/>
        <v>0</v>
      </c>
      <c r="Q98" s="278">
        <f t="shared" si="55"/>
        <v>0</v>
      </c>
      <c r="R98" s="269">
        <f>SUM(F98:Q98)</f>
        <v>3250</v>
      </c>
      <c r="S98" s="114">
        <f>+E98-R98</f>
        <v>1000</v>
      </c>
      <c r="T98" s="114"/>
      <c r="U98" s="199">
        <f>SUM(U96:U97)</f>
        <v>4380</v>
      </c>
    </row>
    <row r="99" spans="1:21" ht="5.4" customHeight="1" x14ac:dyDescent="0.25">
      <c r="A99" s="21"/>
      <c r="B99" s="21"/>
      <c r="C99" s="21"/>
      <c r="D99" s="21"/>
      <c r="E99" s="21"/>
      <c r="F99" s="233"/>
      <c r="G99" s="233"/>
      <c r="H99" s="233"/>
      <c r="I99" s="233"/>
      <c r="J99" s="233"/>
      <c r="K99" s="233"/>
      <c r="L99" s="233"/>
      <c r="M99" s="233"/>
      <c r="N99" s="233"/>
      <c r="O99" s="233"/>
    </row>
    <row r="100" spans="1:21" ht="13.8" x14ac:dyDescent="0.25">
      <c r="A100" s="113" t="s">
        <v>194</v>
      </c>
      <c r="B100" s="114"/>
      <c r="C100" s="114"/>
      <c r="D100" s="114"/>
      <c r="E100" s="114"/>
      <c r="F100" s="212"/>
      <c r="G100" s="212"/>
      <c r="H100" s="212"/>
      <c r="I100" s="212"/>
      <c r="J100" s="212"/>
      <c r="K100" s="212"/>
      <c r="L100" s="212"/>
      <c r="M100" s="212"/>
      <c r="N100" s="212"/>
      <c r="O100" s="212"/>
      <c r="P100" s="212"/>
      <c r="Q100" s="212"/>
      <c r="R100" s="269"/>
      <c r="S100" s="212"/>
      <c r="T100" s="212"/>
      <c r="U100" s="269"/>
    </row>
    <row r="101" spans="1:21" ht="13.8" x14ac:dyDescent="0.25">
      <c r="A101" s="262"/>
      <c r="B101" s="202" t="s">
        <v>367</v>
      </c>
      <c r="C101" s="226"/>
      <c r="D101" s="226"/>
      <c r="E101" s="226"/>
      <c r="F101" s="249"/>
      <c r="G101" s="249">
        <v>504</v>
      </c>
      <c r="H101" s="249"/>
      <c r="I101" s="249"/>
      <c r="J101" s="249"/>
      <c r="K101" s="249"/>
      <c r="L101" s="249"/>
      <c r="M101" s="249"/>
      <c r="N101" s="255"/>
      <c r="O101" s="255"/>
      <c r="P101" s="255"/>
      <c r="Q101" s="255"/>
      <c r="R101" s="268">
        <f t="shared" ref="R101:R103" si="56">SUM(F101:Q101)</f>
        <v>504</v>
      </c>
    </row>
    <row r="102" spans="1:21" ht="13.8" x14ac:dyDescent="0.25">
      <c r="A102" s="262"/>
      <c r="B102" s="202" t="s">
        <v>368</v>
      </c>
      <c r="C102" s="226"/>
      <c r="D102" s="226"/>
      <c r="E102" s="226"/>
      <c r="F102" s="249"/>
      <c r="G102" s="249">
        <v>420</v>
      </c>
      <c r="H102" s="249"/>
      <c r="I102" s="249"/>
      <c r="J102" s="249"/>
      <c r="K102" s="249"/>
      <c r="L102" s="249"/>
      <c r="M102" s="249"/>
      <c r="N102" s="255"/>
      <c r="O102" s="255">
        <v>500</v>
      </c>
      <c r="P102" s="255"/>
      <c r="Q102" s="255"/>
      <c r="R102" s="268">
        <f t="shared" si="56"/>
        <v>920</v>
      </c>
    </row>
    <row r="103" spans="1:21" ht="13.8" x14ac:dyDescent="0.25">
      <c r="A103" s="262"/>
      <c r="B103" s="202" t="s">
        <v>369</v>
      </c>
      <c r="C103" s="226"/>
      <c r="D103" s="226"/>
      <c r="E103" s="226"/>
      <c r="F103" s="249"/>
      <c r="G103" s="249"/>
      <c r="H103" s="249"/>
      <c r="I103" s="249"/>
      <c r="J103" s="249"/>
      <c r="K103" s="249"/>
      <c r="L103" s="249"/>
      <c r="M103" s="249"/>
      <c r="N103" s="255"/>
      <c r="O103" s="255"/>
      <c r="P103" s="255"/>
      <c r="Q103" s="255"/>
      <c r="R103" s="268">
        <f t="shared" si="56"/>
        <v>0</v>
      </c>
    </row>
    <row r="104" spans="1:21" ht="13.8" x14ac:dyDescent="0.25">
      <c r="A104" s="295" t="s">
        <v>371</v>
      </c>
      <c r="B104" s="202" t="s">
        <v>370</v>
      </c>
      <c r="C104" s="250"/>
      <c r="D104" s="250"/>
      <c r="E104" s="250"/>
      <c r="F104" s="251"/>
      <c r="G104" s="251"/>
      <c r="H104" s="251"/>
      <c r="I104" s="251"/>
      <c r="J104" s="251"/>
      <c r="K104" s="231"/>
      <c r="L104" s="231"/>
      <c r="M104" s="231"/>
      <c r="N104" s="232"/>
      <c r="O104" s="232"/>
      <c r="P104" s="232"/>
      <c r="Q104" s="232">
        <f>((SUM(R101:R103)*0.166)*-1)-SUM(F104:P104)</f>
        <v>-236.38400000000001</v>
      </c>
      <c r="R104" s="274">
        <f t="shared" ref="R104" si="57">SUM(F104:Q104)</f>
        <v>-236.38400000000001</v>
      </c>
    </row>
    <row r="105" spans="1:21" ht="13.8" x14ac:dyDescent="0.25">
      <c r="A105" s="113" t="s">
        <v>310</v>
      </c>
      <c r="B105" s="196"/>
      <c r="C105" s="322">
        <f>+'BudgerandActual Spend 24-25'!I58</f>
        <v>3000</v>
      </c>
      <c r="D105" s="324">
        <f>SUM(D101:D103)</f>
        <v>0</v>
      </c>
      <c r="E105" s="323">
        <f>+D105+C105</f>
        <v>3000</v>
      </c>
      <c r="F105" s="212">
        <f>SUM(F101:F104)</f>
        <v>0</v>
      </c>
      <c r="G105" s="212">
        <f>SUM(G101:G104)</f>
        <v>924</v>
      </c>
      <c r="H105" s="212">
        <f t="shared" ref="H105:Q105" si="58">SUM(H101:H104)</f>
        <v>0</v>
      </c>
      <c r="I105" s="212">
        <f t="shared" si="58"/>
        <v>0</v>
      </c>
      <c r="J105" s="212">
        <f t="shared" si="58"/>
        <v>0</v>
      </c>
      <c r="K105" s="212">
        <f t="shared" si="58"/>
        <v>0</v>
      </c>
      <c r="L105" s="212">
        <f t="shared" si="58"/>
        <v>0</v>
      </c>
      <c r="M105" s="212">
        <f t="shared" si="58"/>
        <v>0</v>
      </c>
      <c r="N105" s="247">
        <f t="shared" si="58"/>
        <v>0</v>
      </c>
      <c r="O105" s="247">
        <f t="shared" si="58"/>
        <v>500</v>
      </c>
      <c r="P105" s="247">
        <f t="shared" si="58"/>
        <v>0</v>
      </c>
      <c r="Q105" s="247">
        <f t="shared" si="58"/>
        <v>-236.38400000000001</v>
      </c>
      <c r="R105" s="269">
        <f>SUM(F105:Q105)</f>
        <v>1187.616</v>
      </c>
      <c r="S105" s="307">
        <f>+E105-R105</f>
        <v>1812.384</v>
      </c>
      <c r="T105" s="114"/>
      <c r="U105" s="294">
        <f>3000*Inflation_Rate</f>
        <v>3120</v>
      </c>
    </row>
    <row r="106" spans="1:21" ht="4.95" customHeight="1" x14ac:dyDescent="0.25"/>
    <row r="107" spans="1:21" ht="13.8" x14ac:dyDescent="0.25">
      <c r="A107" s="113" t="s">
        <v>353</v>
      </c>
      <c r="B107" s="114"/>
      <c r="C107" s="114"/>
      <c r="D107" s="114"/>
      <c r="E107" s="114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69"/>
      <c r="S107" s="212"/>
      <c r="T107" s="212"/>
      <c r="U107" s="269"/>
    </row>
    <row r="108" spans="1:21" ht="13.8" x14ac:dyDescent="0.25">
      <c r="A108" s="263"/>
      <c r="B108" s="204" t="s">
        <v>372</v>
      </c>
      <c r="C108" s="300"/>
      <c r="D108" s="300"/>
      <c r="E108" s="300"/>
      <c r="F108" s="301"/>
      <c r="G108" s="301">
        <v>200</v>
      </c>
      <c r="H108" s="301"/>
      <c r="I108" s="301"/>
      <c r="J108" s="301"/>
      <c r="K108" s="301"/>
      <c r="L108" s="301"/>
      <c r="M108" s="301"/>
      <c r="N108" s="276"/>
      <c r="O108" s="276"/>
      <c r="P108" s="276"/>
      <c r="Q108" s="276"/>
      <c r="R108" s="268">
        <f t="shared" ref="R108:R112" si="59">SUM(F108:Q108)</f>
        <v>200</v>
      </c>
    </row>
    <row r="109" spans="1:21" ht="13.8" x14ac:dyDescent="0.25">
      <c r="A109" s="264"/>
      <c r="B109" s="146" t="s">
        <v>390</v>
      </c>
      <c r="C109" s="226"/>
      <c r="D109" s="226"/>
      <c r="E109" s="226"/>
      <c r="F109" s="249"/>
      <c r="G109" s="249"/>
      <c r="H109" s="249"/>
      <c r="I109" s="249"/>
      <c r="J109" s="249"/>
      <c r="K109" s="249"/>
      <c r="L109" s="249"/>
      <c r="M109" s="249"/>
      <c r="N109" s="255"/>
      <c r="O109" s="255">
        <v>400</v>
      </c>
      <c r="P109" s="255"/>
      <c r="Q109" s="255"/>
      <c r="R109" s="268">
        <f t="shared" si="59"/>
        <v>400</v>
      </c>
    </row>
    <row r="110" spans="1:21" ht="13.8" x14ac:dyDescent="0.25">
      <c r="A110" s="264"/>
      <c r="B110" s="146" t="s">
        <v>373</v>
      </c>
      <c r="C110" s="226"/>
      <c r="D110" s="226"/>
      <c r="E110" s="226"/>
      <c r="F110" s="249"/>
      <c r="G110" s="249"/>
      <c r="H110" s="249"/>
      <c r="I110" s="249"/>
      <c r="J110" s="249"/>
      <c r="K110" s="249"/>
      <c r="L110" s="249"/>
      <c r="M110" s="211"/>
      <c r="N110" s="255">
        <v>109</v>
      </c>
      <c r="O110" s="255">
        <v>250</v>
      </c>
      <c r="P110" s="255"/>
      <c r="Q110" s="255"/>
      <c r="R110" s="268">
        <f t="shared" si="59"/>
        <v>359</v>
      </c>
      <c r="U110" s="299"/>
    </row>
    <row r="111" spans="1:21" ht="13.8" x14ac:dyDescent="0.25">
      <c r="A111" s="263"/>
      <c r="B111" s="146" t="s">
        <v>374</v>
      </c>
      <c r="C111" s="226"/>
      <c r="D111" s="226"/>
      <c r="E111" s="226"/>
      <c r="F111" s="304">
        <v>288</v>
      </c>
      <c r="G111" s="249"/>
      <c r="H111" s="249"/>
      <c r="I111" s="249"/>
      <c r="J111" s="249"/>
      <c r="K111" s="249"/>
      <c r="L111" s="249"/>
      <c r="M111" s="249"/>
      <c r="N111" s="255"/>
      <c r="O111" s="255"/>
      <c r="P111" s="255"/>
      <c r="Q111" s="255"/>
      <c r="R111" s="268">
        <f t="shared" si="59"/>
        <v>288</v>
      </c>
    </row>
    <row r="112" spans="1:21" ht="13.8" x14ac:dyDescent="0.25">
      <c r="A112" s="263"/>
      <c r="B112" s="146" t="s">
        <v>375</v>
      </c>
      <c r="C112" s="226"/>
      <c r="D112" s="226"/>
      <c r="E112" s="226"/>
      <c r="F112" s="249"/>
      <c r="G112" s="249"/>
      <c r="H112" s="249"/>
      <c r="I112" s="249"/>
      <c r="J112" s="249"/>
      <c r="K112" s="249"/>
      <c r="L112" s="249">
        <v>119.99</v>
      </c>
      <c r="M112" s="211"/>
      <c r="N112" s="255"/>
      <c r="O112" s="255"/>
      <c r="P112" s="255"/>
      <c r="Q112" s="255"/>
      <c r="R112" s="268">
        <f t="shared" si="59"/>
        <v>119.99</v>
      </c>
    </row>
    <row r="113" spans="1:23" ht="13.8" x14ac:dyDescent="0.25">
      <c r="A113" s="295" t="s">
        <v>371</v>
      </c>
      <c r="B113" s="83" t="s">
        <v>389</v>
      </c>
      <c r="C113" s="226"/>
      <c r="D113" s="226"/>
      <c r="E113" s="226"/>
      <c r="F113" s="249"/>
      <c r="G113" s="249"/>
      <c r="H113" s="249"/>
      <c r="I113" s="249"/>
      <c r="J113" s="249"/>
      <c r="K113" s="249"/>
      <c r="L113" s="249"/>
      <c r="M113" s="211"/>
      <c r="O113" s="255"/>
      <c r="P113" s="255"/>
      <c r="Q113" s="255">
        <f>+N110/120*20*-1</f>
        <v>-18.166666666666668</v>
      </c>
      <c r="R113" s="268">
        <f>SUM(F113:Q113)</f>
        <v>-18.166666666666668</v>
      </c>
    </row>
    <row r="114" spans="1:23" ht="13.8" x14ac:dyDescent="0.25">
      <c r="A114" s="113" t="s">
        <v>311</v>
      </c>
      <c r="B114" s="114"/>
      <c r="C114" s="322">
        <f>+'BudgerandActual Spend 24-25'!I63</f>
        <v>3000</v>
      </c>
      <c r="D114" s="325">
        <f>SUM(D108:D112)</f>
        <v>0</v>
      </c>
      <c r="E114" s="325">
        <f>+D114+C114</f>
        <v>3000</v>
      </c>
      <c r="F114" s="219">
        <f t="shared" ref="F114:P114" si="60">SUM(F108:F113)</f>
        <v>288</v>
      </c>
      <c r="G114" s="219">
        <f t="shared" si="60"/>
        <v>200</v>
      </c>
      <c r="H114" s="219">
        <f t="shared" si="60"/>
        <v>0</v>
      </c>
      <c r="I114" s="219">
        <f t="shared" si="60"/>
        <v>0</v>
      </c>
      <c r="J114" s="219">
        <f t="shared" si="60"/>
        <v>0</v>
      </c>
      <c r="K114" s="219">
        <f t="shared" si="60"/>
        <v>0</v>
      </c>
      <c r="L114" s="219">
        <f t="shared" si="60"/>
        <v>119.99</v>
      </c>
      <c r="M114" s="219">
        <f t="shared" si="60"/>
        <v>0</v>
      </c>
      <c r="N114" s="278">
        <f t="shared" si="60"/>
        <v>109</v>
      </c>
      <c r="O114" s="278">
        <f t="shared" si="60"/>
        <v>650</v>
      </c>
      <c r="P114" s="278">
        <f t="shared" si="60"/>
        <v>0</v>
      </c>
      <c r="Q114" s="278">
        <f>SUM(Q108:Q113)</f>
        <v>-18.166666666666668</v>
      </c>
      <c r="R114" s="269">
        <f>SUM(F114:Q114)</f>
        <v>1348.8233333333333</v>
      </c>
      <c r="S114" s="307">
        <f>+E114-R114</f>
        <v>1651.1766666666667</v>
      </c>
      <c r="T114" s="114"/>
      <c r="U114" s="294">
        <v>2500</v>
      </c>
    </row>
    <row r="115" spans="1:23" ht="4.95" customHeight="1" x14ac:dyDescent="0.25"/>
    <row r="116" spans="1:23" ht="13.8" x14ac:dyDescent="0.25">
      <c r="A116" s="113" t="s">
        <v>197</v>
      </c>
      <c r="B116" s="114"/>
      <c r="C116" s="114"/>
      <c r="D116" s="114"/>
      <c r="E116" s="114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69"/>
      <c r="S116" s="212"/>
      <c r="T116" s="212"/>
      <c r="U116" s="269"/>
    </row>
    <row r="117" spans="1:23" ht="13.8" x14ac:dyDescent="0.25">
      <c r="A117" s="297"/>
      <c r="B117" s="202" t="s">
        <v>356</v>
      </c>
      <c r="C117" s="226"/>
      <c r="D117" s="226"/>
      <c r="E117" s="226"/>
      <c r="F117" s="249"/>
      <c r="G117" s="249"/>
      <c r="H117" s="249"/>
      <c r="I117" s="249"/>
      <c r="J117" s="249"/>
      <c r="K117" s="249"/>
      <c r="L117" s="288">
        <f>-5166.89-L86-L73-L70-L57-L48-L32-L20-L16-L91</f>
        <v>-28.086099999999931</v>
      </c>
      <c r="M117" s="249"/>
      <c r="N117" s="255"/>
      <c r="O117" s="255"/>
      <c r="P117" s="255"/>
      <c r="Q117" s="255"/>
      <c r="R117" s="279">
        <f t="shared" ref="R117:R118" si="61">SUM(F117:Q117)</f>
        <v>-28.086099999999931</v>
      </c>
      <c r="U117" s="299"/>
    </row>
    <row r="118" spans="1:23" ht="13.8" x14ac:dyDescent="0.25">
      <c r="A118" s="146"/>
      <c r="B118" s="68"/>
      <c r="C118" s="250"/>
      <c r="D118" s="250"/>
      <c r="E118" s="250"/>
      <c r="F118" s="251"/>
      <c r="G118" s="251"/>
      <c r="H118" s="251"/>
      <c r="I118" s="251"/>
      <c r="J118" s="251"/>
      <c r="K118" s="251"/>
      <c r="L118" s="251"/>
      <c r="M118" s="251"/>
      <c r="N118" s="256"/>
      <c r="O118" s="256"/>
      <c r="P118" s="256"/>
      <c r="Q118" s="256"/>
      <c r="R118" s="280">
        <f t="shared" si="61"/>
        <v>0</v>
      </c>
    </row>
    <row r="119" spans="1:23" ht="13.8" x14ac:dyDescent="0.25">
      <c r="A119" s="113" t="s">
        <v>312</v>
      </c>
      <c r="B119" s="114"/>
      <c r="C119" s="322">
        <f>+'BudgerandActual Spend 24-25'!I76</f>
        <v>10000</v>
      </c>
      <c r="D119" s="326">
        <f>SUM(D117:D118)</f>
        <v>0</v>
      </c>
      <c r="E119" s="323">
        <f>+D119+C119</f>
        <v>10000</v>
      </c>
      <c r="F119" s="223">
        <f t="shared" ref="F119:Q119" si="62">SUM(F117:F118)</f>
        <v>0</v>
      </c>
      <c r="G119" s="223">
        <f t="shared" si="62"/>
        <v>0</v>
      </c>
      <c r="H119" s="223">
        <f t="shared" si="62"/>
        <v>0</v>
      </c>
      <c r="I119" s="223">
        <f t="shared" si="62"/>
        <v>0</v>
      </c>
      <c r="J119" s="223">
        <f t="shared" si="62"/>
        <v>0</v>
      </c>
      <c r="K119" s="223">
        <f t="shared" si="62"/>
        <v>0</v>
      </c>
      <c r="L119" s="223">
        <f t="shared" si="62"/>
        <v>-28.086099999999931</v>
      </c>
      <c r="M119" s="223">
        <f t="shared" si="62"/>
        <v>0</v>
      </c>
      <c r="N119" s="310">
        <f t="shared" si="62"/>
        <v>0</v>
      </c>
      <c r="O119" s="310">
        <f t="shared" si="62"/>
        <v>0</v>
      </c>
      <c r="P119" s="310">
        <f t="shared" si="62"/>
        <v>0</v>
      </c>
      <c r="Q119" s="310">
        <f t="shared" si="62"/>
        <v>0</v>
      </c>
      <c r="R119" s="269">
        <f>SUM(F119:Q119)</f>
        <v>-28.086099999999931</v>
      </c>
      <c r="S119" s="307">
        <f>+E119-R119</f>
        <v>10028.0861</v>
      </c>
      <c r="T119" s="114"/>
      <c r="U119" s="199">
        <v>10500</v>
      </c>
    </row>
    <row r="120" spans="1:23" ht="4.95" customHeight="1" x14ac:dyDescent="0.25"/>
    <row r="121" spans="1:23" ht="13.8" x14ac:dyDescent="0.25">
      <c r="A121" s="206" t="s">
        <v>323</v>
      </c>
      <c r="B121" s="203"/>
      <c r="C121" s="203"/>
      <c r="D121" s="203"/>
      <c r="E121" s="203"/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70"/>
      <c r="S121" s="220"/>
      <c r="T121" s="220"/>
      <c r="U121" s="270"/>
    </row>
    <row r="122" spans="1:23" ht="13.8" x14ac:dyDescent="0.25">
      <c r="A122" s="302"/>
      <c r="B122" s="147" t="s">
        <v>354</v>
      </c>
      <c r="C122" s="226"/>
      <c r="D122" s="226"/>
      <c r="E122" s="226"/>
      <c r="F122" s="249"/>
      <c r="G122" s="249"/>
      <c r="H122" s="249"/>
      <c r="I122" s="249"/>
      <c r="J122" s="249"/>
      <c r="K122" s="249"/>
      <c r="L122" s="249"/>
      <c r="M122" s="249"/>
      <c r="N122" s="255"/>
      <c r="O122" s="255"/>
      <c r="P122" s="255"/>
      <c r="Q122" s="255"/>
      <c r="R122" s="279">
        <f t="shared" ref="R122:R124" si="63">SUM(F122:Q122)</f>
        <v>0</v>
      </c>
      <c r="U122" s="299">
        <v>6000</v>
      </c>
    </row>
    <row r="123" spans="1:23" ht="13.8" x14ac:dyDescent="0.25">
      <c r="A123" s="302"/>
      <c r="B123" s="147" t="s">
        <v>392</v>
      </c>
      <c r="C123" s="226"/>
      <c r="D123" s="226"/>
      <c r="E123" s="226"/>
      <c r="F123" s="249"/>
      <c r="G123" s="249"/>
      <c r="H123" s="249"/>
      <c r="I123" s="249"/>
      <c r="J123" s="249"/>
      <c r="K123" s="249"/>
      <c r="L123" s="249"/>
      <c r="M123" s="249"/>
      <c r="N123" s="255"/>
      <c r="O123" s="255"/>
      <c r="P123" s="255"/>
      <c r="Q123" s="255"/>
      <c r="R123" s="279">
        <f t="shared" si="63"/>
        <v>0</v>
      </c>
      <c r="U123" s="299">
        <v>250</v>
      </c>
    </row>
    <row r="124" spans="1:23" ht="13.8" x14ac:dyDescent="0.25">
      <c r="A124" s="302"/>
      <c r="B124" s="147" t="s">
        <v>355</v>
      </c>
      <c r="C124" s="226"/>
      <c r="D124" s="226"/>
      <c r="E124" s="226"/>
      <c r="F124" s="249"/>
      <c r="G124" s="249"/>
      <c r="H124" s="249"/>
      <c r="I124" s="249"/>
      <c r="J124" s="249"/>
      <c r="K124" s="249"/>
      <c r="L124" s="249"/>
      <c r="M124" s="249"/>
      <c r="N124" s="255"/>
      <c r="O124" s="255"/>
      <c r="P124" s="255"/>
      <c r="Q124" s="255"/>
      <c r="R124" s="268">
        <f t="shared" si="63"/>
        <v>0</v>
      </c>
      <c r="U124" s="12">
        <v>8250</v>
      </c>
    </row>
    <row r="125" spans="1:23" ht="13.8" x14ac:dyDescent="0.25">
      <c r="A125" s="266" t="s">
        <v>313</v>
      </c>
      <c r="B125" s="198"/>
      <c r="C125" s="322">
        <f>+'BudgerandActual Spend 24-25'!I80</f>
        <v>5000</v>
      </c>
      <c r="D125" s="324">
        <f t="shared" ref="D125" si="64">SUM(D124:D124)</f>
        <v>0</v>
      </c>
      <c r="E125" s="323">
        <f>+D125+C125</f>
        <v>5000</v>
      </c>
      <c r="F125" s="212">
        <f t="shared" ref="F125:I125" si="65">SUM(F122:F124)</f>
        <v>0</v>
      </c>
      <c r="G125" s="212">
        <f t="shared" si="65"/>
        <v>0</v>
      </c>
      <c r="H125" s="212">
        <f t="shared" si="65"/>
        <v>0</v>
      </c>
      <c r="I125" s="212">
        <f t="shared" si="65"/>
        <v>0</v>
      </c>
      <c r="J125" s="212">
        <f>SUM(J122:J124)</f>
        <v>0</v>
      </c>
      <c r="K125" s="212">
        <f t="shared" ref="K125:Q125" si="66">SUM(K122:K124)</f>
        <v>0</v>
      </c>
      <c r="L125" s="212">
        <f t="shared" si="66"/>
        <v>0</v>
      </c>
      <c r="M125" s="212">
        <f t="shared" si="66"/>
        <v>0</v>
      </c>
      <c r="N125" s="311">
        <f t="shared" si="66"/>
        <v>0</v>
      </c>
      <c r="O125" s="311">
        <f t="shared" si="66"/>
        <v>0</v>
      </c>
      <c r="P125" s="311">
        <f t="shared" si="66"/>
        <v>0</v>
      </c>
      <c r="Q125" s="311">
        <f t="shared" si="66"/>
        <v>0</v>
      </c>
      <c r="R125" s="269">
        <f>SUM(F125:Q125)</f>
        <v>0</v>
      </c>
      <c r="S125" s="307">
        <f>+E125-R125</f>
        <v>5000</v>
      </c>
      <c r="T125" s="114"/>
      <c r="U125" s="199">
        <f>SUM(U122:U124)</f>
        <v>14500</v>
      </c>
    </row>
    <row r="126" spans="1:23" ht="4.95" customHeight="1" x14ac:dyDescent="0.25">
      <c r="S126" s="12"/>
      <c r="T126" s="12"/>
      <c r="V126" s="12"/>
      <c r="W126" s="12"/>
    </row>
    <row r="127" spans="1:23" ht="13.8" x14ac:dyDescent="0.25">
      <c r="A127" s="113" t="s">
        <v>307</v>
      </c>
      <c r="B127" s="114"/>
      <c r="C127" s="114"/>
      <c r="D127" s="114"/>
      <c r="E127" s="114"/>
      <c r="F127" s="212"/>
      <c r="G127" s="212"/>
      <c r="H127" s="212"/>
      <c r="I127" s="212"/>
      <c r="J127" s="212"/>
      <c r="K127" s="212"/>
      <c r="L127" s="212"/>
      <c r="M127" s="212"/>
      <c r="N127" s="212"/>
      <c r="O127" s="212"/>
      <c r="P127" s="212"/>
      <c r="Q127" s="212"/>
      <c r="R127" s="269"/>
      <c r="S127" s="212"/>
      <c r="T127" s="212"/>
      <c r="U127" s="269"/>
    </row>
    <row r="128" spans="1:23" ht="13.8" x14ac:dyDescent="0.25">
      <c r="A128" s="298"/>
      <c r="B128" s="147" t="s">
        <v>377</v>
      </c>
      <c r="C128" s="226"/>
      <c r="D128" s="226"/>
      <c r="E128" s="226">
        <v>0</v>
      </c>
      <c r="F128" s="249">
        <v>0</v>
      </c>
      <c r="G128" s="249">
        <v>0</v>
      </c>
      <c r="H128" s="249">
        <v>0</v>
      </c>
      <c r="I128" s="249">
        <v>0</v>
      </c>
      <c r="J128" s="249">
        <v>0</v>
      </c>
      <c r="K128" s="249"/>
      <c r="L128" s="249"/>
      <c r="M128" s="249"/>
      <c r="N128" s="255"/>
      <c r="O128" s="255"/>
      <c r="P128" s="255"/>
      <c r="Q128" s="255"/>
      <c r="R128" s="268">
        <f>SUM(F128:Q128)</f>
        <v>0</v>
      </c>
    </row>
    <row r="129" spans="1:21" ht="13.8" x14ac:dyDescent="0.25">
      <c r="A129" s="298"/>
      <c r="B129" s="147" t="s">
        <v>376</v>
      </c>
      <c r="C129" s="226"/>
      <c r="D129" s="226"/>
      <c r="E129" s="226"/>
      <c r="F129" s="249"/>
      <c r="G129" s="249"/>
      <c r="H129" s="249"/>
      <c r="I129" s="249"/>
      <c r="J129" s="249"/>
      <c r="K129" s="249"/>
      <c r="L129" s="249"/>
      <c r="M129" s="249"/>
      <c r="N129" s="255"/>
      <c r="O129" s="255"/>
      <c r="P129" s="255"/>
      <c r="Q129" s="255"/>
      <c r="R129" s="268">
        <f t="shared" ref="R129:R130" si="67">SUM(F129:Q129)</f>
        <v>0</v>
      </c>
    </row>
    <row r="130" spans="1:21" ht="13.8" x14ac:dyDescent="0.25">
      <c r="A130" s="209"/>
      <c r="B130" s="305" t="s">
        <v>382</v>
      </c>
      <c r="C130" s="226"/>
      <c r="D130" s="226"/>
      <c r="E130" s="226"/>
      <c r="F130" s="249"/>
      <c r="G130" s="249"/>
      <c r="H130" s="249"/>
      <c r="I130" s="249"/>
      <c r="J130" s="249">
        <v>38.71</v>
      </c>
      <c r="K130" s="249"/>
      <c r="L130" s="249"/>
      <c r="M130" s="249"/>
      <c r="N130" s="255"/>
      <c r="O130" s="255"/>
      <c r="P130" s="255"/>
      <c r="Q130" s="255"/>
      <c r="R130" s="268">
        <f t="shared" si="67"/>
        <v>38.71</v>
      </c>
    </row>
    <row r="131" spans="1:21" ht="13.8" x14ac:dyDescent="0.25">
      <c r="A131" s="266" t="s">
        <v>314</v>
      </c>
      <c r="B131" s="198"/>
      <c r="C131" s="322">
        <v>0</v>
      </c>
      <c r="D131" s="322">
        <v>0</v>
      </c>
      <c r="E131" s="323">
        <f>+D131+C131</f>
        <v>0</v>
      </c>
      <c r="F131" s="212">
        <f t="shared" ref="F131:Q131" si="68">SUM(F128:F130)</f>
        <v>0</v>
      </c>
      <c r="G131" s="212">
        <f t="shared" si="68"/>
        <v>0</v>
      </c>
      <c r="H131" s="212">
        <f t="shared" si="68"/>
        <v>0</v>
      </c>
      <c r="I131" s="212">
        <f t="shared" si="68"/>
        <v>0</v>
      </c>
      <c r="J131" s="212">
        <f t="shared" si="68"/>
        <v>38.71</v>
      </c>
      <c r="K131" s="212">
        <f t="shared" si="68"/>
        <v>0</v>
      </c>
      <c r="L131" s="212">
        <f t="shared" si="68"/>
        <v>0</v>
      </c>
      <c r="M131" s="212">
        <f t="shared" si="68"/>
        <v>0</v>
      </c>
      <c r="N131" s="311">
        <f t="shared" si="68"/>
        <v>0</v>
      </c>
      <c r="O131" s="311">
        <f t="shared" si="68"/>
        <v>0</v>
      </c>
      <c r="P131" s="311">
        <f t="shared" si="68"/>
        <v>0</v>
      </c>
      <c r="Q131" s="311">
        <f t="shared" si="68"/>
        <v>0</v>
      </c>
      <c r="R131" s="269">
        <f>SUM(F131:Q131)</f>
        <v>38.71</v>
      </c>
      <c r="S131" s="114">
        <f>+E131-R131</f>
        <v>-38.71</v>
      </c>
      <c r="T131" s="114"/>
      <c r="U131" s="199">
        <v>40</v>
      </c>
    </row>
    <row r="132" spans="1:21" ht="3.6" customHeight="1" x14ac:dyDescent="0.25"/>
    <row r="133" spans="1:21" x14ac:dyDescent="0.25">
      <c r="A133" s="15" t="s">
        <v>244</v>
      </c>
      <c r="C133" s="327">
        <f t="shared" ref="C133:S133" si="69">+C125+C119+C114+C105+C98+C93+C75+C53-C131</f>
        <v>81360.2</v>
      </c>
      <c r="D133" s="327">
        <f t="shared" si="69"/>
        <v>1825.1</v>
      </c>
      <c r="E133" s="327">
        <f t="shared" si="69"/>
        <v>83185.3</v>
      </c>
      <c r="F133" s="252">
        <f t="shared" si="69"/>
        <v>2404.29</v>
      </c>
      <c r="G133" s="252">
        <f t="shared" si="69"/>
        <v>15595.7</v>
      </c>
      <c r="H133" s="211">
        <f t="shared" si="69"/>
        <v>1386.1599999999999</v>
      </c>
      <c r="I133" s="252">
        <f t="shared" si="69"/>
        <v>19307.739999999998</v>
      </c>
      <c r="J133" s="252">
        <f t="shared" si="69"/>
        <v>6320.87</v>
      </c>
      <c r="K133" s="252">
        <f t="shared" si="69"/>
        <v>1588.58</v>
      </c>
      <c r="L133" s="252">
        <f t="shared" si="69"/>
        <v>-1612.3420000000003</v>
      </c>
      <c r="M133" s="252">
        <f t="shared" si="69"/>
        <v>2624.31</v>
      </c>
      <c r="N133" s="265">
        <f t="shared" si="69"/>
        <v>3018.5</v>
      </c>
      <c r="O133" s="265">
        <f t="shared" si="69"/>
        <v>3405.5</v>
      </c>
      <c r="P133" s="265">
        <f t="shared" si="69"/>
        <v>3132.5</v>
      </c>
      <c r="Q133" s="265">
        <f t="shared" si="69"/>
        <v>3280.5098733333334</v>
      </c>
      <c r="R133" s="315">
        <f t="shared" si="69"/>
        <v>60452.317873333326</v>
      </c>
      <c r="S133" s="283">
        <f t="shared" si="69"/>
        <v>22732.982126666673</v>
      </c>
      <c r="T133" s="15"/>
      <c r="U133" s="271">
        <f>+U125+U119+U114+U105+U98+U93+U75+U53-U131</f>
        <v>90481</v>
      </c>
    </row>
    <row r="134" spans="1:21" x14ac:dyDescent="0.25">
      <c r="S134" s="210"/>
    </row>
    <row r="135" spans="1:21" x14ac:dyDescent="0.25">
      <c r="A135" t="s">
        <v>380</v>
      </c>
      <c r="F135" s="243">
        <v>27380</v>
      </c>
      <c r="L135" s="243">
        <v>27380</v>
      </c>
    </row>
    <row r="136" spans="1:21" x14ac:dyDescent="0.25">
      <c r="A136" s="15" t="s">
        <v>387</v>
      </c>
      <c r="C136" s="243"/>
      <c r="D136" s="243"/>
      <c r="E136" s="243"/>
      <c r="F136" s="243">
        <v>58767.9</v>
      </c>
      <c r="G136" s="243">
        <v>43172.2</v>
      </c>
      <c r="H136" s="243">
        <v>41786.04</v>
      </c>
      <c r="I136" s="243">
        <v>22478.3</v>
      </c>
      <c r="J136" s="243">
        <v>16157.43</v>
      </c>
      <c r="K136" s="243">
        <v>14568.85</v>
      </c>
      <c r="L136" s="243">
        <v>43504.42</v>
      </c>
      <c r="M136" s="243"/>
      <c r="N136" s="243"/>
      <c r="O136" s="243"/>
      <c r="P136" s="243"/>
      <c r="Q136" s="243"/>
      <c r="R136" s="271"/>
      <c r="S136" s="243"/>
    </row>
    <row r="137" spans="1:21" outlineLevel="1" x14ac:dyDescent="0.25"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>
        <f>+L136-M133</f>
        <v>40880.11</v>
      </c>
      <c r="N137" s="243">
        <f>+M137-N133</f>
        <v>37861.61</v>
      </c>
      <c r="O137" s="243">
        <f t="shared" ref="O137:Q137" si="70">+N137-O133</f>
        <v>34456.11</v>
      </c>
      <c r="P137" s="243">
        <f t="shared" si="70"/>
        <v>31323.61</v>
      </c>
      <c r="Q137" s="243">
        <f t="shared" si="70"/>
        <v>28043.100126666668</v>
      </c>
      <c r="R137" s="271"/>
      <c r="S137" s="243"/>
    </row>
    <row r="138" spans="1:21" outlineLevel="1" x14ac:dyDescent="0.25">
      <c r="B138" s="15"/>
    </row>
    <row r="139" spans="1:21" x14ac:dyDescent="0.25">
      <c r="A139" s="15" t="s">
        <v>388</v>
      </c>
      <c r="B139" s="15"/>
      <c r="F139" s="328">
        <f>+F133</f>
        <v>2404.29</v>
      </c>
      <c r="G139" s="252">
        <f>+F136-G136</f>
        <v>15595.700000000004</v>
      </c>
      <c r="H139" s="211">
        <f>+G136-H136</f>
        <v>1386.1599999999962</v>
      </c>
      <c r="I139" s="252">
        <f>+H136-I136</f>
        <v>19307.740000000002</v>
      </c>
      <c r="J139" s="252">
        <f>+I136-J136</f>
        <v>6320.869999999999</v>
      </c>
      <c r="K139" s="252">
        <f>+J136-K136</f>
        <v>1588.58</v>
      </c>
      <c r="L139" s="252">
        <f>+K136-L136+L135</f>
        <v>-1555.5699999999997</v>
      </c>
    </row>
    <row r="140" spans="1:21" s="49" customFormat="1" ht="15.6" x14ac:dyDescent="0.25">
      <c r="A140" s="282" t="s">
        <v>183</v>
      </c>
      <c r="B140" s="62"/>
      <c r="C140" s="61"/>
      <c r="D140" s="61"/>
      <c r="E140" s="61"/>
      <c r="K140" s="61"/>
      <c r="L140" s="61"/>
      <c r="M140" s="61"/>
      <c r="N140" s="61"/>
      <c r="O140" s="63"/>
      <c r="P140" s="64"/>
      <c r="Q140" s="61"/>
      <c r="R140" s="63"/>
    </row>
    <row r="141" spans="1:21" s="77" customFormat="1" ht="13.8" x14ac:dyDescent="0.25">
      <c r="A141" s="155"/>
      <c r="B141" s="156"/>
      <c r="C141" s="157"/>
      <c r="D141" s="157"/>
      <c r="E141" s="281" t="s">
        <v>234</v>
      </c>
      <c r="K141" s="157"/>
      <c r="L141" s="158" t="s">
        <v>170</v>
      </c>
      <c r="M141" s="158"/>
      <c r="N141" s="158" t="s">
        <v>122</v>
      </c>
      <c r="O141" s="157"/>
      <c r="P141" s="159"/>
      <c r="Q141" s="157"/>
      <c r="R141" s="72"/>
    </row>
    <row r="142" spans="1:21" s="77" customFormat="1" ht="13.8" x14ac:dyDescent="0.25">
      <c r="A142" s="160" t="s">
        <v>169</v>
      </c>
      <c r="B142" s="161"/>
      <c r="C142" s="162"/>
      <c r="D142" s="162"/>
      <c r="E142" s="162"/>
      <c r="K142" s="162"/>
      <c r="L142" s="163">
        <v>49835.08</v>
      </c>
      <c r="M142" s="164"/>
      <c r="N142" s="164">
        <v>61.72</v>
      </c>
      <c r="O142" s="162"/>
      <c r="P142" s="165"/>
      <c r="Q142" s="162"/>
      <c r="R142" s="73"/>
    </row>
    <row r="143" spans="1:21" s="77" customFormat="1" ht="13.8" x14ac:dyDescent="0.25">
      <c r="A143" s="166"/>
      <c r="B143" s="161"/>
      <c r="C143" s="162"/>
      <c r="D143" s="162"/>
      <c r="E143" s="162"/>
      <c r="K143" s="162"/>
      <c r="L143" s="167"/>
      <c r="M143" s="162"/>
      <c r="N143" s="162"/>
      <c r="O143" s="162"/>
      <c r="P143" s="167"/>
      <c r="Q143" s="162"/>
      <c r="R143" s="73"/>
    </row>
    <row r="144" spans="1:21" s="77" customFormat="1" ht="13.8" x14ac:dyDescent="0.25">
      <c r="A144" s="160" t="s">
        <v>320</v>
      </c>
      <c r="B144" s="161"/>
      <c r="C144" s="162"/>
      <c r="D144" s="162"/>
      <c r="E144" s="162">
        <v>81812</v>
      </c>
      <c r="K144" s="162"/>
      <c r="L144" s="186">
        <v>54760</v>
      </c>
      <c r="M144" s="164"/>
      <c r="N144" s="173">
        <v>68.05</v>
      </c>
      <c r="O144" s="162"/>
      <c r="P144" s="167"/>
      <c r="Q144" s="162"/>
      <c r="R144" s="73"/>
    </row>
    <row r="145" spans="1:18" s="77" customFormat="1" ht="13.8" x14ac:dyDescent="0.25">
      <c r="A145" s="160"/>
      <c r="B145" s="161"/>
      <c r="C145" s="162"/>
      <c r="D145" s="162"/>
      <c r="E145" s="162"/>
      <c r="K145" s="162"/>
      <c r="L145" s="167"/>
      <c r="M145" s="162"/>
      <c r="N145" s="162"/>
      <c r="O145" s="162"/>
      <c r="P145" s="167"/>
      <c r="Q145" s="162"/>
      <c r="R145" s="73"/>
    </row>
    <row r="146" spans="1:18" s="77" customFormat="1" ht="13.8" x14ac:dyDescent="0.25">
      <c r="A146" s="160" t="s">
        <v>321</v>
      </c>
      <c r="B146" s="162"/>
      <c r="C146" s="168"/>
      <c r="D146" s="162"/>
      <c r="E146" s="162"/>
      <c r="K146" s="162"/>
      <c r="L146" s="169" t="s">
        <v>126</v>
      </c>
      <c r="M146" s="170"/>
      <c r="N146" s="170" t="s">
        <v>127</v>
      </c>
      <c r="O146" s="162"/>
      <c r="P146" s="167"/>
      <c r="Q146" s="162"/>
      <c r="R146" s="73"/>
    </row>
    <row r="147" spans="1:18" s="77" customFormat="1" x14ac:dyDescent="0.25">
      <c r="A147" s="171" t="s">
        <v>108</v>
      </c>
      <c r="B147" s="162"/>
      <c r="C147" s="162"/>
      <c r="D147" s="162"/>
      <c r="E147" s="162"/>
      <c r="K147" s="162"/>
      <c r="L147" s="172">
        <f>+U133</f>
        <v>90481</v>
      </c>
      <c r="M147" s="162"/>
      <c r="N147" s="162"/>
      <c r="O147" s="162"/>
      <c r="P147" s="167"/>
      <c r="Q147" s="162"/>
      <c r="R147" s="73"/>
    </row>
    <row r="148" spans="1:18" s="77" customFormat="1" x14ac:dyDescent="0.25">
      <c r="A148" s="171" t="s">
        <v>322</v>
      </c>
      <c r="B148" s="162"/>
      <c r="C148" s="162"/>
      <c r="D148" s="162"/>
      <c r="E148" s="162"/>
      <c r="K148" s="162"/>
      <c r="L148" s="172">
        <f>+S133</f>
        <v>22732.982126666673</v>
      </c>
      <c r="M148" s="162"/>
      <c r="N148" s="162"/>
      <c r="O148" s="162"/>
      <c r="P148" s="167"/>
      <c r="Q148" s="162"/>
      <c r="R148" s="73"/>
    </row>
    <row r="149" spans="1:18" s="77" customFormat="1" x14ac:dyDescent="0.25">
      <c r="A149" s="171" t="s">
        <v>107</v>
      </c>
      <c r="B149" s="162"/>
      <c r="C149" s="162"/>
      <c r="D149" s="162"/>
      <c r="E149" s="162"/>
      <c r="K149" s="162"/>
      <c r="L149" s="163">
        <f>+L147-L148</f>
        <v>67748.01787333333</v>
      </c>
      <c r="M149" s="164"/>
      <c r="N149" s="173">
        <f>+N144/L144*L149</f>
        <v>84.190150041642312</v>
      </c>
      <c r="O149" s="162"/>
      <c r="P149" s="167"/>
      <c r="Q149" s="162"/>
      <c r="R149" s="73"/>
    </row>
    <row r="150" spans="1:18" s="77" customFormat="1" x14ac:dyDescent="0.25">
      <c r="A150" s="171" t="s">
        <v>25</v>
      </c>
      <c r="B150" s="162"/>
      <c r="C150" s="162"/>
      <c r="D150" s="162"/>
      <c r="E150" s="162"/>
      <c r="K150" s="162"/>
      <c r="L150" s="167"/>
      <c r="M150" s="162"/>
      <c r="N150" s="168"/>
      <c r="O150" s="162"/>
      <c r="P150" s="167"/>
      <c r="Q150" s="162"/>
      <c r="R150" s="73"/>
    </row>
    <row r="151" spans="1:18" s="77" customFormat="1" x14ac:dyDescent="0.25">
      <c r="A151" s="171"/>
      <c r="B151" s="162"/>
      <c r="C151" s="162"/>
      <c r="D151" s="162"/>
      <c r="E151" s="162"/>
      <c r="K151" s="162"/>
      <c r="L151" s="169" t="s">
        <v>126</v>
      </c>
      <c r="M151" s="170"/>
      <c r="N151" s="170" t="s">
        <v>127</v>
      </c>
      <c r="O151" s="170"/>
      <c r="P151" s="169" t="s">
        <v>172</v>
      </c>
      <c r="Q151" s="162"/>
      <c r="R151" s="73"/>
    </row>
    <row r="152" spans="1:18" s="77" customFormat="1" x14ac:dyDescent="0.25">
      <c r="A152" s="171" t="s">
        <v>173</v>
      </c>
      <c r="B152" s="162"/>
      <c r="C152" s="162"/>
      <c r="D152" s="162"/>
      <c r="E152" s="162"/>
      <c r="K152" s="162"/>
      <c r="L152" s="163">
        <f>+L149-L144</f>
        <v>12988.01787333333</v>
      </c>
      <c r="M152" s="164"/>
      <c r="N152" s="173">
        <f>+N149-N144</f>
        <v>16.140150041642315</v>
      </c>
      <c r="O152" s="162"/>
      <c r="P152" s="174">
        <f>+N152/N144%</f>
        <v>23.718075006087165</v>
      </c>
      <c r="Q152" s="162"/>
      <c r="R152" s="73"/>
    </row>
    <row r="153" spans="1:18" s="77" customFormat="1" ht="7.8" hidden="1" customHeight="1" x14ac:dyDescent="0.25">
      <c r="A153" s="175" t="s">
        <v>167</v>
      </c>
      <c r="P153" s="93"/>
      <c r="R153" s="73"/>
    </row>
    <row r="154" spans="1:18" s="77" customFormat="1" ht="13.8" hidden="1" x14ac:dyDescent="0.25">
      <c r="A154" s="176" t="s">
        <v>168</v>
      </c>
      <c r="B154" s="150"/>
      <c r="L154" s="78" t="s">
        <v>126</v>
      </c>
      <c r="N154" s="78" t="s">
        <v>122</v>
      </c>
      <c r="P154" s="93"/>
      <c r="R154" s="73"/>
    </row>
    <row r="155" spans="1:18" s="77" customFormat="1" ht="13.8" hidden="1" x14ac:dyDescent="0.25">
      <c r="A155" s="177" t="s">
        <v>65</v>
      </c>
      <c r="B155" s="150"/>
      <c r="L155" s="178">
        <v>49835.08</v>
      </c>
      <c r="N155" s="77">
        <v>61.72</v>
      </c>
      <c r="P155" s="93"/>
      <c r="R155" s="73"/>
    </row>
    <row r="156" spans="1:18" s="77" customFormat="1" ht="13.8" hidden="1" x14ac:dyDescent="0.25">
      <c r="A156" s="177" t="s">
        <v>66</v>
      </c>
      <c r="B156" s="150"/>
      <c r="L156" s="178">
        <v>515.83000000000004</v>
      </c>
      <c r="P156" s="93"/>
      <c r="R156" s="73"/>
    </row>
    <row r="157" spans="1:18" s="77" customFormat="1" ht="13.8" hidden="1" x14ac:dyDescent="0.25">
      <c r="A157" s="177" t="s">
        <v>68</v>
      </c>
      <c r="L157" s="178">
        <v>340</v>
      </c>
      <c r="P157" s="93"/>
      <c r="R157" s="73"/>
    </row>
    <row r="158" spans="1:18" s="77" customFormat="1" ht="7.2" hidden="1" customHeight="1" x14ac:dyDescent="0.25">
      <c r="A158" s="177" t="s">
        <v>67</v>
      </c>
      <c r="L158" s="179">
        <v>38.71</v>
      </c>
      <c r="P158" s="93"/>
      <c r="R158" s="73"/>
    </row>
    <row r="159" spans="1:18" s="77" customFormat="1" ht="12" hidden="1" customHeight="1" x14ac:dyDescent="0.25">
      <c r="A159" s="180"/>
      <c r="L159" s="178">
        <f>SUM(L155:L158)</f>
        <v>50729.62</v>
      </c>
      <c r="P159" s="93"/>
      <c r="R159" s="73"/>
    </row>
    <row r="160" spans="1:18" s="77" customFormat="1" x14ac:dyDescent="0.25">
      <c r="A160" s="181"/>
      <c r="B160" s="182"/>
      <c r="C160" s="182"/>
      <c r="D160" s="182"/>
      <c r="E160" s="182"/>
      <c r="K160" s="182"/>
      <c r="L160" s="182"/>
      <c r="M160" s="182"/>
      <c r="N160" s="182"/>
      <c r="O160" s="182"/>
      <c r="P160" s="183"/>
      <c r="Q160" s="182"/>
      <c r="R160" s="74"/>
    </row>
    <row r="161" spans="1:25" x14ac:dyDescent="0.25">
      <c r="C161">
        <f>+E144</f>
        <v>81812</v>
      </c>
      <c r="D161" s="284">
        <f>+L147</f>
        <v>90481</v>
      </c>
      <c r="E161" s="284">
        <f>+D161-C161</f>
        <v>8669</v>
      </c>
    </row>
    <row r="162" spans="1:25" x14ac:dyDescent="0.25">
      <c r="A162" s="15" t="s">
        <v>384</v>
      </c>
      <c r="D162" s="284"/>
    </row>
    <row r="163" spans="1:25" s="210" customFormat="1" x14ac:dyDescent="0.25">
      <c r="A163"/>
      <c r="B163"/>
      <c r="R163" s="12"/>
      <c r="S163"/>
      <c r="T163"/>
      <c r="U163" s="12"/>
      <c r="V163"/>
      <c r="W163"/>
      <c r="X163"/>
      <c r="Y163"/>
    </row>
    <row r="165" spans="1:25" s="210" customFormat="1" x14ac:dyDescent="0.25">
      <c r="A165" t="s">
        <v>357</v>
      </c>
      <c r="B165"/>
      <c r="C165"/>
      <c r="D165"/>
      <c r="E165"/>
      <c r="R165" s="12"/>
      <c r="S165"/>
      <c r="T165"/>
      <c r="U165" s="12"/>
      <c r="V165"/>
      <c r="W165"/>
      <c r="X165"/>
      <c r="Y165"/>
    </row>
  </sheetData>
  <mergeCells count="2">
    <mergeCell ref="A55:B55"/>
    <mergeCell ref="A77:B77"/>
  </mergeCells>
  <conditionalFormatting sqref="S2 S4:S52 S54 S56:S74 A72:Q72 A73:K73 M73:P73 A74:E74 A76:S76 A78:S82 B83:R84 A84 A85:S85 A86:J87 S86:S87 A88:S90 A91:J92 S91:S92 A94:S94 S101:S104 S106:U106 S108:U113 S115:U115 S117:U118 S120:U120 S128:S130 S132 S134:S1048576">
    <cfRule type="cellIs" dxfId="11" priority="5" operator="lessThan">
      <formula>0</formula>
    </cfRule>
  </conditionalFormatting>
  <conditionalFormatting sqref="S84">
    <cfRule type="cellIs" dxfId="10" priority="2" operator="lessThan">
      <formula>0</formula>
    </cfRule>
  </conditionalFormatting>
  <conditionalFormatting sqref="S96:U96 S97:T97 S99:U99">
    <cfRule type="cellIs" dxfId="9" priority="4" operator="lessThan">
      <formula>0</formula>
    </cfRule>
  </conditionalFormatting>
  <conditionalFormatting sqref="S122:U124">
    <cfRule type="cellIs" dxfId="8" priority="1" operator="lessThan">
      <formula>0</formula>
    </cfRule>
  </conditionalFormatting>
  <conditionalFormatting sqref="T83:T84">
    <cfRule type="cellIs" dxfId="7" priority="3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Page &amp;P of &amp;N</oddFooter>
  </headerFooter>
  <rowBreaks count="1" manualBreakCount="1">
    <brk id="134" max="16383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0538-F38C-4B58-B338-51DFFA930AEA}">
  <sheetPr>
    <tabColor rgb="FF00B050"/>
    <pageSetUpPr fitToPage="1"/>
  </sheetPr>
  <dimension ref="A1:Z189"/>
  <sheetViews>
    <sheetView showGridLines="0" zoomScale="92" zoomScaleNormal="90" workbookViewId="0">
      <pane xSplit="2" ySplit="2" topLeftCell="C3" activePane="bottomRight" state="frozenSplit"/>
      <selection pane="topRight" activeCell="J1" sqref="J1"/>
      <selection pane="bottomLeft" activeCell="A6" sqref="A6"/>
      <selection pane="bottomRight" activeCell="F4" sqref="F4"/>
    </sheetView>
  </sheetViews>
  <sheetFormatPr defaultRowHeight="13.2" outlineLevelRow="1" outlineLevelCol="1" x14ac:dyDescent="0.25"/>
  <cols>
    <col min="1" max="1" width="4.44140625" customWidth="1"/>
    <col min="2" max="2" width="40.21875" customWidth="1"/>
    <col min="3" max="3" width="8.5546875" customWidth="1"/>
    <col min="4" max="4" width="6.88671875" customWidth="1" outlineLevel="1"/>
    <col min="5" max="5" width="7.88671875" customWidth="1"/>
    <col min="6" max="6" width="7.5546875" style="210" customWidth="1" outlineLevel="1"/>
    <col min="7" max="7" width="6.88671875" style="210" customWidth="1" outlineLevel="1"/>
    <col min="8" max="8" width="7.5546875" style="210" customWidth="1" outlineLevel="1"/>
    <col min="9" max="9" width="8.6640625" style="210" customWidth="1" outlineLevel="1"/>
    <col min="10" max="10" width="6.88671875" style="210" customWidth="1" outlineLevel="1"/>
    <col min="11" max="11" width="6.44140625" style="210" customWidth="1" outlineLevel="1"/>
    <col min="12" max="12" width="9" style="210" customWidth="1" outlineLevel="1"/>
    <col min="13" max="13" width="7" style="210" customWidth="1" outlineLevel="1" collapsed="1"/>
    <col min="14" max="14" width="6.44140625" style="210" customWidth="1"/>
    <col min="15" max="15" width="8.77734375" style="210" customWidth="1"/>
    <col min="16" max="16" width="6.88671875" style="210" customWidth="1"/>
    <col min="17" max="17" width="7.44140625" style="210" customWidth="1"/>
    <col min="18" max="18" width="8.88671875" style="12"/>
    <col min="19" max="19" width="8.33203125" customWidth="1"/>
    <col min="20" max="20" width="3.5546875" customWidth="1"/>
    <col min="21" max="21" width="8.44140625" style="12" customWidth="1"/>
  </cols>
  <sheetData>
    <row r="1" spans="1:26" ht="3.6" customHeight="1" x14ac:dyDescent="0.25">
      <c r="F1" s="210" t="s">
        <v>306</v>
      </c>
      <c r="G1" s="210" t="s">
        <v>306</v>
      </c>
      <c r="H1" s="210" t="s">
        <v>306</v>
      </c>
    </row>
    <row r="2" spans="1:26" s="49" customFormat="1" ht="37.799999999999997" customHeight="1" x14ac:dyDescent="0.25">
      <c r="A2" s="316" t="s">
        <v>290</v>
      </c>
      <c r="B2" s="317"/>
      <c r="C2" s="339" t="s">
        <v>234</v>
      </c>
      <c r="D2" s="339" t="s">
        <v>285</v>
      </c>
      <c r="E2" s="339" t="s">
        <v>271</v>
      </c>
      <c r="F2" s="309" t="s">
        <v>235</v>
      </c>
      <c r="G2" s="309" t="s">
        <v>236</v>
      </c>
      <c r="H2" s="309" t="s">
        <v>246</v>
      </c>
      <c r="I2" s="309" t="s">
        <v>251</v>
      </c>
      <c r="J2" s="309" t="s">
        <v>250</v>
      </c>
      <c r="K2" s="309" t="s">
        <v>252</v>
      </c>
      <c r="L2" s="309" t="s">
        <v>253</v>
      </c>
      <c r="M2" s="309" t="s">
        <v>254</v>
      </c>
      <c r="N2" s="309" t="s">
        <v>255</v>
      </c>
      <c r="O2" s="309" t="s">
        <v>256</v>
      </c>
      <c r="P2" s="309" t="s">
        <v>257</v>
      </c>
      <c r="Q2" s="343" t="s">
        <v>258</v>
      </c>
      <c r="R2" s="267" t="s">
        <v>126</v>
      </c>
      <c r="S2" s="337" t="s">
        <v>318</v>
      </c>
      <c r="U2" s="47" t="s">
        <v>304</v>
      </c>
      <c r="V2" s="49" t="s">
        <v>422</v>
      </c>
      <c r="W2" s="49" t="s">
        <v>351</v>
      </c>
      <c r="X2" s="286">
        <v>1.04</v>
      </c>
      <c r="Y2" s="330">
        <f>+S169</f>
        <v>15.518636505965437</v>
      </c>
      <c r="Z2" s="351" t="s">
        <v>432</v>
      </c>
    </row>
    <row r="3" spans="1:26" ht="13.8" x14ac:dyDescent="0.25">
      <c r="A3" s="132" t="s">
        <v>308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6" ht="13.8" x14ac:dyDescent="0.25">
      <c r="A4" s="257" t="s">
        <v>281</v>
      </c>
      <c r="B4" s="83" t="s">
        <v>286</v>
      </c>
      <c r="F4" s="333">
        <v>716.16</v>
      </c>
      <c r="G4" s="211">
        <v>732.88</v>
      </c>
      <c r="H4" s="211">
        <v>708.16</v>
      </c>
      <c r="I4" s="211">
        <v>753.12</v>
      </c>
      <c r="J4" s="211">
        <v>803.08</v>
      </c>
      <c r="K4" s="211">
        <f>839.48+26</f>
        <v>865.48</v>
      </c>
      <c r="L4" s="211">
        <v>772.4</v>
      </c>
      <c r="M4" s="211">
        <v>772.4</v>
      </c>
      <c r="N4" s="211">
        <f t="shared" ref="M4:Q5" si="0">+M4</f>
        <v>772.4</v>
      </c>
      <c r="O4" s="211">
        <f t="shared" si="0"/>
        <v>772.4</v>
      </c>
      <c r="P4" s="211">
        <v>772.2</v>
      </c>
      <c r="Q4" s="332">
        <f t="shared" si="0"/>
        <v>772.2</v>
      </c>
      <c r="R4" s="268">
        <f>SUM(F4:Q4)</f>
        <v>9212.8799999999992</v>
      </c>
    </row>
    <row r="5" spans="1:26" ht="13.8" x14ac:dyDescent="0.25">
      <c r="A5" s="246"/>
      <c r="B5" s="230" t="s">
        <v>325</v>
      </c>
      <c r="C5" s="318">
        <f>+'BudgerandActual Spend 24-25'!I5</f>
        <v>11092.2</v>
      </c>
      <c r="D5" s="318">
        <f>+'Spend Jan-Mar25'!H7</f>
        <v>-968.96</v>
      </c>
      <c r="E5" s="318">
        <f>+D5+C5</f>
        <v>10123.240000000002</v>
      </c>
      <c r="F5" s="231">
        <f>SUM(F4:F4)</f>
        <v>716.16</v>
      </c>
      <c r="G5" s="231">
        <f>SUM(G4:G4)</f>
        <v>732.88</v>
      </c>
      <c r="H5" s="231">
        <f>SUM(H4:H4)</f>
        <v>708.16</v>
      </c>
      <c r="I5" s="231">
        <f>SUM(I4:I4)</f>
        <v>753.12</v>
      </c>
      <c r="J5" s="231">
        <v>803.08</v>
      </c>
      <c r="K5" s="231">
        <f>SUM(K4)</f>
        <v>865.48</v>
      </c>
      <c r="L5" s="231">
        <f>SUM(L4)</f>
        <v>772.4</v>
      </c>
      <c r="M5" s="231">
        <f t="shared" si="0"/>
        <v>772.4</v>
      </c>
      <c r="N5" s="231">
        <f t="shared" si="0"/>
        <v>772.4</v>
      </c>
      <c r="O5" s="231">
        <f t="shared" si="0"/>
        <v>772.4</v>
      </c>
      <c r="P5" s="231">
        <f t="shared" si="0"/>
        <v>772.4</v>
      </c>
      <c r="Q5" s="247">
        <f t="shared" si="0"/>
        <v>772.4</v>
      </c>
      <c r="R5" s="314">
        <f>SUM(F5:Q5)</f>
        <v>9213.279999999997</v>
      </c>
      <c r="S5" s="308">
        <f>+E5-R5</f>
        <v>909.96000000000458</v>
      </c>
      <c r="T5" s="29"/>
      <c r="U5" s="285">
        <v>9582</v>
      </c>
      <c r="V5">
        <f>+ROUND(R5*Inflation_Rate,0)</f>
        <v>9582</v>
      </c>
    </row>
    <row r="6" spans="1:26" ht="13.8" x14ac:dyDescent="0.25">
      <c r="A6" s="257" t="s">
        <v>281</v>
      </c>
      <c r="B6" s="83" t="s">
        <v>141</v>
      </c>
      <c r="F6" s="211">
        <v>642.92999999999995</v>
      </c>
      <c r="I6" s="211">
        <v>744.73</v>
      </c>
      <c r="L6" s="211">
        <v>806.14</v>
      </c>
      <c r="O6" s="211">
        <v>775.44</v>
      </c>
      <c r="S6" s="243"/>
    </row>
    <row r="7" spans="1:26" ht="13.8" x14ac:dyDescent="0.25">
      <c r="A7" s="29"/>
      <c r="B7" s="230" t="s">
        <v>326</v>
      </c>
      <c r="C7" s="318">
        <f>+'BudgerandActual Spend 24-25'!I7</f>
        <v>3500</v>
      </c>
      <c r="D7" s="318">
        <f>+'Spend Jan-Mar25'!H13</f>
        <v>-270.27999999999997</v>
      </c>
      <c r="E7" s="318">
        <f>+D7+C7</f>
        <v>3229.7200000000003</v>
      </c>
      <c r="F7" s="231">
        <f t="shared" ref="F7:Q7" si="1">SUM(F6:F6)</f>
        <v>642.92999999999995</v>
      </c>
      <c r="G7" s="231">
        <f t="shared" si="1"/>
        <v>0</v>
      </c>
      <c r="H7" s="231">
        <f t="shared" si="1"/>
        <v>0</v>
      </c>
      <c r="I7" s="231">
        <f t="shared" si="1"/>
        <v>744.73</v>
      </c>
      <c r="J7" s="231">
        <f t="shared" si="1"/>
        <v>0</v>
      </c>
      <c r="K7" s="231">
        <f t="shared" si="1"/>
        <v>0</v>
      </c>
      <c r="L7" s="231">
        <f t="shared" si="1"/>
        <v>806.14</v>
      </c>
      <c r="M7" s="231">
        <f t="shared" si="1"/>
        <v>0</v>
      </c>
      <c r="N7" s="231">
        <f t="shared" si="1"/>
        <v>0</v>
      </c>
      <c r="O7" s="231">
        <f t="shared" si="1"/>
        <v>775.44</v>
      </c>
      <c r="P7" s="231">
        <f t="shared" si="1"/>
        <v>0</v>
      </c>
      <c r="Q7" s="247">
        <f t="shared" si="1"/>
        <v>0</v>
      </c>
      <c r="R7" s="314">
        <f t="shared" ref="R7:R12" si="2">SUM(F7:Q7)</f>
        <v>2969.24</v>
      </c>
      <c r="S7" s="308">
        <f>+E7-R7</f>
        <v>260.48000000000047</v>
      </c>
      <c r="T7" s="29"/>
      <c r="U7" s="285">
        <v>3088</v>
      </c>
      <c r="V7">
        <f>+ROUND(R7*Inflation_Rate,0)</f>
        <v>3088</v>
      </c>
    </row>
    <row r="8" spans="1:26" ht="13.8" x14ac:dyDescent="0.25">
      <c r="A8" s="257" t="s">
        <v>281</v>
      </c>
      <c r="B8" s="83" t="s">
        <v>277</v>
      </c>
      <c r="F8" s="332">
        <v>17.98</v>
      </c>
      <c r="G8" s="211">
        <v>95.59</v>
      </c>
      <c r="J8" s="211">
        <v>95.59</v>
      </c>
      <c r="R8" s="268">
        <f t="shared" si="2"/>
        <v>209.16000000000003</v>
      </c>
    </row>
    <row r="9" spans="1:26" ht="13.8" x14ac:dyDescent="0.25">
      <c r="A9" s="257" t="s">
        <v>281</v>
      </c>
      <c r="B9" s="83" t="s">
        <v>291</v>
      </c>
      <c r="J9" s="211">
        <v>10.99</v>
      </c>
      <c r="R9" s="268">
        <f t="shared" si="2"/>
        <v>10.99</v>
      </c>
    </row>
    <row r="10" spans="1:26" ht="13.8" x14ac:dyDescent="0.25">
      <c r="A10" s="257" t="s">
        <v>281</v>
      </c>
      <c r="B10" s="83" t="s">
        <v>391</v>
      </c>
      <c r="J10" s="211"/>
      <c r="L10" s="210">
        <v>15.79</v>
      </c>
      <c r="N10" s="211">
        <v>3.49</v>
      </c>
      <c r="R10" s="268">
        <f t="shared" si="2"/>
        <v>19.28</v>
      </c>
    </row>
    <row r="11" spans="1:26" ht="13.8" x14ac:dyDescent="0.25">
      <c r="A11" s="257" t="s">
        <v>281</v>
      </c>
      <c r="B11" s="83" t="s">
        <v>383</v>
      </c>
      <c r="I11" s="211">
        <f>12.36+12.1+12.1</f>
        <v>36.56</v>
      </c>
      <c r="K11" s="211">
        <v>12.1</v>
      </c>
      <c r="L11" s="211">
        <v>12.1</v>
      </c>
      <c r="M11" s="211">
        <v>12.1</v>
      </c>
      <c r="N11" s="211">
        <v>12.1</v>
      </c>
      <c r="O11" s="211">
        <v>12.1</v>
      </c>
      <c r="P11" s="211">
        <v>12.1</v>
      </c>
      <c r="Q11" s="332">
        <v>12.1</v>
      </c>
      <c r="R11" s="268">
        <f t="shared" si="2"/>
        <v>121.25999999999998</v>
      </c>
    </row>
    <row r="12" spans="1:26" ht="13.8" x14ac:dyDescent="0.25">
      <c r="A12" s="29"/>
      <c r="B12" s="230" t="s">
        <v>327</v>
      </c>
      <c r="C12" s="318">
        <f>+'BudgerandActual Spend 24-25'!I8</f>
        <v>504</v>
      </c>
      <c r="D12" s="318">
        <f>+'Spend Jan-Mar25'!H17</f>
        <v>143.93999999999994</v>
      </c>
      <c r="E12" s="318">
        <f>+D12+C12</f>
        <v>647.93999999999994</v>
      </c>
      <c r="F12" s="231">
        <f>SUM(F8:F11)</f>
        <v>17.98</v>
      </c>
      <c r="G12" s="231">
        <f>SUM(G8:G11)</f>
        <v>95.59</v>
      </c>
      <c r="H12" s="231">
        <f t="shared" ref="H12:J12" si="3">SUM(H8:H11)</f>
        <v>0</v>
      </c>
      <c r="I12" s="231">
        <f t="shared" si="3"/>
        <v>36.56</v>
      </c>
      <c r="J12" s="231">
        <f t="shared" si="3"/>
        <v>106.58</v>
      </c>
      <c r="K12" s="231">
        <f>SUM(K8:K11)</f>
        <v>12.1</v>
      </c>
      <c r="L12" s="231">
        <f t="shared" ref="L12" si="4">SUM(L8:L11)</f>
        <v>27.89</v>
      </c>
      <c r="M12" s="231">
        <f>SUM(M8:M11)</f>
        <v>12.1</v>
      </c>
      <c r="N12" s="231">
        <f t="shared" ref="N12:P12" si="5">SUM(N8:N11)</f>
        <v>15.59</v>
      </c>
      <c r="O12" s="231">
        <f t="shared" si="5"/>
        <v>12.1</v>
      </c>
      <c r="P12" s="231">
        <f t="shared" si="5"/>
        <v>12.1</v>
      </c>
      <c r="Q12" s="247">
        <f>SUM(Q8:Q11)</f>
        <v>12.1</v>
      </c>
      <c r="R12" s="314">
        <f t="shared" si="2"/>
        <v>360.69000000000005</v>
      </c>
      <c r="S12" s="308">
        <f>+E12-R12</f>
        <v>287.24999999999989</v>
      </c>
      <c r="T12" s="29"/>
      <c r="U12" s="285">
        <v>666</v>
      </c>
      <c r="V12">
        <v>666</v>
      </c>
      <c r="W12" s="15" t="s">
        <v>423</v>
      </c>
    </row>
    <row r="13" spans="1:26" ht="13.8" x14ac:dyDescent="0.25">
      <c r="A13" s="257" t="s">
        <v>281</v>
      </c>
      <c r="B13" s="83" t="s">
        <v>298</v>
      </c>
      <c r="F13" s="332">
        <v>95.99</v>
      </c>
      <c r="R13" s="268">
        <f t="shared" ref="R13:R49" si="6">SUM(F13:Q13)</f>
        <v>95.99</v>
      </c>
      <c r="S13" s="283" t="s">
        <v>303</v>
      </c>
    </row>
    <row r="14" spans="1:26" ht="13.8" x14ac:dyDescent="0.25">
      <c r="A14" s="257" t="s">
        <v>281</v>
      </c>
      <c r="B14" s="83" t="s">
        <v>287</v>
      </c>
      <c r="R14" s="268">
        <f t="shared" si="6"/>
        <v>0</v>
      </c>
      <c r="S14" s="243"/>
    </row>
    <row r="15" spans="1:26" ht="13.8" x14ac:dyDescent="0.25">
      <c r="A15" s="257" t="s">
        <v>281</v>
      </c>
      <c r="B15" s="83" t="s">
        <v>398</v>
      </c>
      <c r="O15" s="277"/>
      <c r="R15" s="268">
        <f t="shared" si="6"/>
        <v>0</v>
      </c>
      <c r="S15" s="243"/>
    </row>
    <row r="16" spans="1:26" ht="13.8" x14ac:dyDescent="0.25">
      <c r="A16" s="257" t="s">
        <v>281</v>
      </c>
      <c r="B16" s="83" t="s">
        <v>324</v>
      </c>
      <c r="L16" s="211">
        <v>2.5</v>
      </c>
      <c r="R16" s="268">
        <f t="shared" si="6"/>
        <v>2.5</v>
      </c>
      <c r="S16" s="243"/>
    </row>
    <row r="17" spans="1:26" ht="13.8" x14ac:dyDescent="0.25">
      <c r="A17" s="296" t="s">
        <v>371</v>
      </c>
      <c r="B17" s="83" t="s">
        <v>317</v>
      </c>
      <c r="L17" s="287">
        <f>((SUM(F13:L16)*0.1661)*-1)-SUM(F17:K17)</f>
        <v>-16.359189000000001</v>
      </c>
      <c r="Q17" s="287">
        <f>(SUM(R13:R14)*0.16671*-1)-SUM(F17:P17)</f>
        <v>0.35669610000000063</v>
      </c>
      <c r="R17" s="268">
        <f t="shared" si="6"/>
        <v>-16.0024929</v>
      </c>
      <c r="S17" s="243"/>
    </row>
    <row r="18" spans="1:26" ht="13.8" x14ac:dyDescent="0.25">
      <c r="A18" s="29"/>
      <c r="B18" s="230" t="s">
        <v>328</v>
      </c>
      <c r="C18" s="319">
        <f>+'BudgerandActual Spend 24-25'!I9</f>
        <v>400</v>
      </c>
      <c r="D18" s="319">
        <f>+'Spend Jan-Mar25'!H20</f>
        <v>0</v>
      </c>
      <c r="E18" s="319">
        <f>+D18+C18</f>
        <v>400</v>
      </c>
      <c r="F18" s="231">
        <f>SUM(F13:F14)</f>
        <v>95.99</v>
      </c>
      <c r="G18" s="231">
        <f>SUM(G13:G14)</f>
        <v>0</v>
      </c>
      <c r="H18" s="231">
        <f>SUM(H13:H14)</f>
        <v>0</v>
      </c>
      <c r="I18" s="231">
        <f>SUM(I13:I14)</f>
        <v>0</v>
      </c>
      <c r="J18" s="231">
        <f>SUM(J13:J14)</f>
        <v>0</v>
      </c>
      <c r="K18" s="231">
        <f t="shared" ref="K18:Q18" si="7">SUM(K13:K17)</f>
        <v>0</v>
      </c>
      <c r="L18" s="231">
        <f t="shared" si="7"/>
        <v>-13.859189000000001</v>
      </c>
      <c r="M18" s="231">
        <f t="shared" si="7"/>
        <v>0</v>
      </c>
      <c r="N18" s="231">
        <f t="shared" si="7"/>
        <v>0</v>
      </c>
      <c r="O18" s="231">
        <f t="shared" si="7"/>
        <v>0</v>
      </c>
      <c r="P18" s="231">
        <f t="shared" si="7"/>
        <v>0</v>
      </c>
      <c r="Q18" s="247">
        <f t="shared" si="7"/>
        <v>0.35669610000000063</v>
      </c>
      <c r="R18" s="314">
        <f t="shared" si="6"/>
        <v>82.487507099999988</v>
      </c>
      <c r="S18" s="308">
        <f>+E18-R18</f>
        <v>317.51249289999998</v>
      </c>
      <c r="T18" s="29"/>
      <c r="U18" s="285">
        <v>391</v>
      </c>
      <c r="V18">
        <v>391</v>
      </c>
      <c r="W18" s="15" t="s">
        <v>423</v>
      </c>
    </row>
    <row r="19" spans="1:26" ht="13.8" x14ac:dyDescent="0.25">
      <c r="A19" s="257" t="s">
        <v>281</v>
      </c>
      <c r="B19" s="83" t="s">
        <v>289</v>
      </c>
      <c r="F19" s="332">
        <v>6</v>
      </c>
      <c r="G19" s="211">
        <v>6</v>
      </c>
      <c r="H19" s="211">
        <v>6</v>
      </c>
      <c r="I19" s="211">
        <v>6</v>
      </c>
      <c r="J19" s="211">
        <v>6</v>
      </c>
      <c r="K19" s="211">
        <v>6</v>
      </c>
      <c r="L19" s="211">
        <v>6</v>
      </c>
      <c r="M19" s="211">
        <v>6</v>
      </c>
      <c r="N19" s="211">
        <v>6</v>
      </c>
      <c r="O19" s="211">
        <v>6</v>
      </c>
      <c r="P19" s="211">
        <v>6</v>
      </c>
      <c r="Q19" s="210">
        <v>7</v>
      </c>
      <c r="R19" s="268">
        <f t="shared" si="6"/>
        <v>73</v>
      </c>
      <c r="S19" s="243"/>
      <c r="T19" s="15"/>
    </row>
    <row r="20" spans="1:26" ht="13.8" x14ac:dyDescent="0.25">
      <c r="A20" s="257" t="s">
        <v>281</v>
      </c>
      <c r="B20" s="83" t="s">
        <v>288</v>
      </c>
      <c r="R20" s="268">
        <f t="shared" si="6"/>
        <v>0</v>
      </c>
      <c r="S20" s="243"/>
      <c r="U20" s="15"/>
    </row>
    <row r="21" spans="1:26" ht="13.8" x14ac:dyDescent="0.25">
      <c r="A21" s="296" t="s">
        <v>371</v>
      </c>
      <c r="B21" s="83" t="s">
        <v>317</v>
      </c>
      <c r="L21" s="287">
        <f>((SUM(F19:L20)*0.16671)*-1)-SUM(F21:K21)</f>
        <v>-7.0018199999999995</v>
      </c>
      <c r="Q21" s="287">
        <f>((SUM(R20)/6)*-1)-SUM(F21:P21)</f>
        <v>7.0018199999999995</v>
      </c>
      <c r="R21" s="268">
        <f t="shared" si="6"/>
        <v>0</v>
      </c>
      <c r="S21" s="243"/>
      <c r="T21" s="15"/>
    </row>
    <row r="22" spans="1:26" ht="13.8" x14ac:dyDescent="0.25">
      <c r="A22" s="29"/>
      <c r="B22" s="230" t="s">
        <v>329</v>
      </c>
      <c r="C22" s="318">
        <f>+'BudgerandActual Spend 24-25'!I10</f>
        <v>200</v>
      </c>
      <c r="D22" s="318">
        <f>+'Spend Jan-Mar25'!H23</f>
        <v>600</v>
      </c>
      <c r="E22" s="318">
        <f>+D22+C22</f>
        <v>800</v>
      </c>
      <c r="F22" s="231">
        <f t="shared" ref="F22:Q22" si="8">SUM(F19:F20)</f>
        <v>6</v>
      </c>
      <c r="G22" s="231">
        <f t="shared" si="8"/>
        <v>6</v>
      </c>
      <c r="H22" s="231">
        <f t="shared" si="8"/>
        <v>6</v>
      </c>
      <c r="I22" s="231">
        <f t="shared" si="8"/>
        <v>6</v>
      </c>
      <c r="J22" s="231">
        <f t="shared" si="8"/>
        <v>6</v>
      </c>
      <c r="K22" s="231">
        <f t="shared" si="8"/>
        <v>6</v>
      </c>
      <c r="L22" s="231">
        <f t="shared" si="8"/>
        <v>6</v>
      </c>
      <c r="M22" s="231">
        <f t="shared" si="8"/>
        <v>6</v>
      </c>
      <c r="N22" s="231">
        <f t="shared" si="8"/>
        <v>6</v>
      </c>
      <c r="O22" s="231">
        <f t="shared" si="8"/>
        <v>6</v>
      </c>
      <c r="P22" s="231">
        <f t="shared" si="8"/>
        <v>6</v>
      </c>
      <c r="Q22" s="247">
        <f t="shared" si="8"/>
        <v>7</v>
      </c>
      <c r="R22" s="314">
        <f t="shared" si="6"/>
        <v>73</v>
      </c>
      <c r="S22" s="308">
        <f>+E22-R22</f>
        <v>727</v>
      </c>
      <c r="T22" s="29"/>
      <c r="U22" s="292">
        <f>+ROUND(7*12*Inflation_Rate,0)</f>
        <v>87</v>
      </c>
      <c r="V22">
        <v>87</v>
      </c>
      <c r="W22" s="15" t="s">
        <v>423</v>
      </c>
    </row>
    <row r="23" spans="1:26" ht="13.8" x14ac:dyDescent="0.25">
      <c r="A23" s="259" t="s">
        <v>281</v>
      </c>
      <c r="B23" s="83" t="s">
        <v>279</v>
      </c>
      <c r="H23" s="211">
        <v>47</v>
      </c>
      <c r="R23" s="268">
        <f t="shared" si="6"/>
        <v>47</v>
      </c>
      <c r="S23" s="243"/>
    </row>
    <row r="24" spans="1:26" ht="13.8" x14ac:dyDescent="0.25">
      <c r="A24" s="260" t="s">
        <v>281</v>
      </c>
      <c r="B24" s="83" t="s">
        <v>136</v>
      </c>
      <c r="R24" s="268">
        <f>SUM(F24:Q24)</f>
        <v>0</v>
      </c>
      <c r="S24" s="243"/>
      <c r="T24" s="15"/>
    </row>
    <row r="25" spans="1:26" ht="13.8" x14ac:dyDescent="0.25">
      <c r="A25" s="260"/>
      <c r="B25" s="83" t="s">
        <v>430</v>
      </c>
      <c r="Q25" s="332">
        <v>158</v>
      </c>
      <c r="R25" s="268">
        <f>SUM(F25:Q25)</f>
        <v>158</v>
      </c>
      <c r="S25" s="243"/>
      <c r="T25" s="15"/>
      <c r="Z25" s="342">
        <v>136</v>
      </c>
    </row>
    <row r="26" spans="1:26" ht="13.8" x14ac:dyDescent="0.25">
      <c r="A26" s="260" t="s">
        <v>281</v>
      </c>
      <c r="B26" s="83" t="s">
        <v>278</v>
      </c>
      <c r="R26" s="268">
        <f t="shared" si="6"/>
        <v>0</v>
      </c>
      <c r="S26" s="243"/>
    </row>
    <row r="27" spans="1:26" ht="13.8" x14ac:dyDescent="0.25">
      <c r="A27" s="260" t="s">
        <v>281</v>
      </c>
      <c r="B27" s="83" t="s">
        <v>280</v>
      </c>
      <c r="R27" s="268">
        <f t="shared" si="6"/>
        <v>0</v>
      </c>
      <c r="S27" s="243"/>
    </row>
    <row r="28" spans="1:26" ht="13.8" x14ac:dyDescent="0.25">
      <c r="A28" s="29"/>
      <c r="B28" s="230" t="s">
        <v>330</v>
      </c>
      <c r="C28" s="318">
        <f>582+160</f>
        <v>742</v>
      </c>
      <c r="D28" s="318">
        <f>+'Spend Jan-Mar25'!H26</f>
        <v>-190</v>
      </c>
      <c r="E28" s="318">
        <f>+D28+C28</f>
        <v>552</v>
      </c>
      <c r="F28" s="231">
        <f t="shared" ref="F28:Q28" si="9">SUM(F23:F27)</f>
        <v>0</v>
      </c>
      <c r="G28" s="231">
        <f t="shared" si="9"/>
        <v>0</v>
      </c>
      <c r="H28" s="231">
        <f t="shared" si="9"/>
        <v>47</v>
      </c>
      <c r="I28" s="231">
        <f t="shared" si="9"/>
        <v>0</v>
      </c>
      <c r="J28" s="231">
        <f t="shared" si="9"/>
        <v>0</v>
      </c>
      <c r="K28" s="231">
        <f t="shared" si="9"/>
        <v>0</v>
      </c>
      <c r="L28" s="231">
        <f t="shared" si="9"/>
        <v>0</v>
      </c>
      <c r="M28" s="231">
        <f t="shared" si="9"/>
        <v>0</v>
      </c>
      <c r="N28" s="231">
        <f t="shared" si="9"/>
        <v>0</v>
      </c>
      <c r="O28" s="231">
        <f t="shared" si="9"/>
        <v>0</v>
      </c>
      <c r="P28" s="231">
        <f t="shared" si="9"/>
        <v>0</v>
      </c>
      <c r="Q28" s="247">
        <f t="shared" si="9"/>
        <v>158</v>
      </c>
      <c r="R28" s="314">
        <f t="shared" si="6"/>
        <v>205</v>
      </c>
      <c r="S28" s="308">
        <f>+E28-R28</f>
        <v>347</v>
      </c>
      <c r="T28" s="29"/>
      <c r="U28" s="292">
        <f>+ROUND(R28*Inflation_Rate,0)+168</f>
        <v>381</v>
      </c>
      <c r="V28">
        <f>+U28</f>
        <v>381</v>
      </c>
    </row>
    <row r="29" spans="1:26" ht="13.8" x14ac:dyDescent="0.25">
      <c r="A29" s="260" t="s">
        <v>281</v>
      </c>
      <c r="B29" s="83" t="s">
        <v>149</v>
      </c>
      <c r="N29" s="211">
        <v>339.96</v>
      </c>
      <c r="R29" s="268">
        <f t="shared" si="6"/>
        <v>339.96</v>
      </c>
      <c r="S29" s="243"/>
    </row>
    <row r="30" spans="1:26" ht="13.8" x14ac:dyDescent="0.25">
      <c r="A30" s="296"/>
      <c r="B30" s="83" t="s">
        <v>317</v>
      </c>
      <c r="Q30" s="210">
        <f>((SUM(R29)*0.16671)*-1)-SUM(F30:P30)</f>
        <v>-56.674731599999994</v>
      </c>
      <c r="R30" s="268">
        <f t="shared" si="6"/>
        <v>-56.674731599999994</v>
      </c>
      <c r="S30" s="243"/>
    </row>
    <row r="31" spans="1:26" ht="13.8" x14ac:dyDescent="0.25">
      <c r="A31" s="29"/>
      <c r="B31" s="230" t="s">
        <v>331</v>
      </c>
      <c r="C31" s="318">
        <f>+'BudgerandActual Spend 24-25'!I13</f>
        <v>0</v>
      </c>
      <c r="D31" s="318">
        <f>+'Spend Jan-Mar25'!H32</f>
        <v>0</v>
      </c>
      <c r="E31" s="318">
        <f>+D31+C31</f>
        <v>0</v>
      </c>
      <c r="F31" s="231">
        <f t="shared" ref="F31:M31" si="10">SUM(F29:F30)</f>
        <v>0</v>
      </c>
      <c r="G31" s="231">
        <f t="shared" si="10"/>
        <v>0</v>
      </c>
      <c r="H31" s="231">
        <f t="shared" si="10"/>
        <v>0</v>
      </c>
      <c r="I31" s="231">
        <f t="shared" si="10"/>
        <v>0</v>
      </c>
      <c r="J31" s="231">
        <f t="shared" si="10"/>
        <v>0</v>
      </c>
      <c r="K31" s="231">
        <f t="shared" si="10"/>
        <v>0</v>
      </c>
      <c r="L31" s="231">
        <f t="shared" si="10"/>
        <v>0</v>
      </c>
      <c r="M31" s="231">
        <f t="shared" si="10"/>
        <v>0</v>
      </c>
      <c r="N31" s="231">
        <f>SUM(N29:N30)</f>
        <v>339.96</v>
      </c>
      <c r="O31" s="231">
        <f t="shared" ref="O31:Q31" si="11">SUM(O29:O30)</f>
        <v>0</v>
      </c>
      <c r="P31" s="231">
        <f t="shared" si="11"/>
        <v>0</v>
      </c>
      <c r="Q31" s="247">
        <f t="shared" si="11"/>
        <v>-56.674731599999994</v>
      </c>
      <c r="R31" s="314">
        <f t="shared" si="6"/>
        <v>283.28526840000001</v>
      </c>
      <c r="S31" s="308">
        <f>+E31-R31</f>
        <v>-283.28526840000001</v>
      </c>
      <c r="T31" s="29"/>
      <c r="U31" s="292">
        <f>+ROUND(500*Inflation_Rate,0)</f>
        <v>520</v>
      </c>
      <c r="V31">
        <v>520</v>
      </c>
    </row>
    <row r="32" spans="1:26" ht="13.8" x14ac:dyDescent="0.25">
      <c r="A32" s="259" t="s">
        <v>281</v>
      </c>
      <c r="B32" s="83" t="s">
        <v>144</v>
      </c>
      <c r="G32" s="211">
        <v>819.95</v>
      </c>
      <c r="R32" s="268">
        <f t="shared" si="6"/>
        <v>819.95</v>
      </c>
      <c r="S32" s="243"/>
    </row>
    <row r="33" spans="1:26" ht="13.8" x14ac:dyDescent="0.25">
      <c r="A33" s="29"/>
      <c r="B33" s="230" t="s">
        <v>332</v>
      </c>
      <c r="C33" s="318">
        <f>+'BudgerandActual Spend 24-25'!I14</f>
        <v>997</v>
      </c>
      <c r="D33" s="318">
        <f>+'Spend Jan-Mar25'!H35</f>
        <v>0</v>
      </c>
      <c r="E33" s="318">
        <f>+D33+C33</f>
        <v>997</v>
      </c>
      <c r="F33" s="231">
        <f t="shared" ref="F33:Q33" si="12">SUM(F32:F32)</f>
        <v>0</v>
      </c>
      <c r="G33" s="231">
        <f t="shared" si="12"/>
        <v>819.95</v>
      </c>
      <c r="H33" s="231">
        <f t="shared" si="12"/>
        <v>0</v>
      </c>
      <c r="I33" s="231">
        <f t="shared" si="12"/>
        <v>0</v>
      </c>
      <c r="J33" s="231">
        <f t="shared" si="12"/>
        <v>0</v>
      </c>
      <c r="K33" s="231">
        <f t="shared" si="12"/>
        <v>0</v>
      </c>
      <c r="L33" s="231">
        <f t="shared" si="12"/>
        <v>0</v>
      </c>
      <c r="M33" s="231">
        <f t="shared" si="12"/>
        <v>0</v>
      </c>
      <c r="N33" s="231">
        <f t="shared" si="12"/>
        <v>0</v>
      </c>
      <c r="O33" s="231">
        <f t="shared" si="12"/>
        <v>0</v>
      </c>
      <c r="P33" s="231">
        <f t="shared" si="12"/>
        <v>0</v>
      </c>
      <c r="Q33" s="247">
        <f t="shared" si="12"/>
        <v>0</v>
      </c>
      <c r="R33" s="314">
        <f t="shared" si="6"/>
        <v>819.95</v>
      </c>
      <c r="S33" s="308">
        <f>+E33-R33</f>
        <v>177.04999999999995</v>
      </c>
      <c r="T33" s="29"/>
      <c r="U33" s="285">
        <v>853</v>
      </c>
      <c r="V33">
        <f>+ROUND(R33*Inflation_Rate,0)</f>
        <v>853</v>
      </c>
    </row>
    <row r="34" spans="1:26" ht="13.8" x14ac:dyDescent="0.25">
      <c r="A34" s="257" t="s">
        <v>281</v>
      </c>
      <c r="B34" s="83" t="s">
        <v>12</v>
      </c>
      <c r="I34" s="211">
        <v>90</v>
      </c>
      <c r="J34" s="211">
        <v>30</v>
      </c>
      <c r="K34" s="211">
        <v>30</v>
      </c>
      <c r="L34" s="211">
        <v>30</v>
      </c>
      <c r="M34" s="211">
        <v>30</v>
      </c>
      <c r="N34" s="211">
        <f>30+300</f>
        <v>330</v>
      </c>
      <c r="O34" s="211">
        <v>30</v>
      </c>
      <c r="P34" s="211">
        <v>30</v>
      </c>
      <c r="Q34" s="210">
        <v>30</v>
      </c>
      <c r="R34" s="268">
        <f t="shared" si="6"/>
        <v>630</v>
      </c>
    </row>
    <row r="35" spans="1:26" ht="13.8" x14ac:dyDescent="0.25">
      <c r="A35" s="296" t="s">
        <v>371</v>
      </c>
      <c r="B35" s="83" t="s">
        <v>317</v>
      </c>
      <c r="L35" s="287">
        <f>((SUM(F34:L34)*0.16671)*-1)-SUM(F35:K35)</f>
        <v>-30.0078</v>
      </c>
      <c r="Q35" s="210">
        <f>((SUM(R34)*0.16671)*-1)-SUM(F35:P35)</f>
        <v>-75.019499999999994</v>
      </c>
      <c r="R35" s="268">
        <f t="shared" si="6"/>
        <v>-105.0273</v>
      </c>
    </row>
    <row r="36" spans="1:26" ht="13.8" x14ac:dyDescent="0.25">
      <c r="A36" s="29"/>
      <c r="B36" s="230" t="s">
        <v>333</v>
      </c>
      <c r="C36" s="318">
        <f>+'BudgerandActual Spend 24-25'!I15</f>
        <v>260</v>
      </c>
      <c r="D36" s="318">
        <f>+'Spend Jan-Mar25'!H38</f>
        <v>0</v>
      </c>
      <c r="E36" s="318">
        <f>+D36+C36</f>
        <v>260</v>
      </c>
      <c r="F36" s="231">
        <f t="shared" ref="F36:Q36" si="13">SUM(F34:F35)</f>
        <v>0</v>
      </c>
      <c r="G36" s="231">
        <f t="shared" si="13"/>
        <v>0</v>
      </c>
      <c r="H36" s="231">
        <f t="shared" si="13"/>
        <v>0</v>
      </c>
      <c r="I36" s="231">
        <f t="shared" si="13"/>
        <v>90</v>
      </c>
      <c r="J36" s="231">
        <f t="shared" si="13"/>
        <v>30</v>
      </c>
      <c r="K36" s="231">
        <f t="shared" si="13"/>
        <v>30</v>
      </c>
      <c r="L36" s="231">
        <f t="shared" si="13"/>
        <v>-7.799999999999585E-3</v>
      </c>
      <c r="M36" s="231">
        <f t="shared" si="13"/>
        <v>30</v>
      </c>
      <c r="N36" s="231">
        <f t="shared" si="13"/>
        <v>330</v>
      </c>
      <c r="O36" s="231">
        <f t="shared" si="13"/>
        <v>30</v>
      </c>
      <c r="P36" s="231">
        <f t="shared" si="13"/>
        <v>30</v>
      </c>
      <c r="Q36" s="247">
        <f t="shared" si="13"/>
        <v>-45.019499999999994</v>
      </c>
      <c r="R36" s="314">
        <f t="shared" si="6"/>
        <v>524.97270000000003</v>
      </c>
      <c r="S36" s="308">
        <f>+E36-R36</f>
        <v>-264.97270000000003</v>
      </c>
      <c r="T36" s="29"/>
      <c r="U36" s="292">
        <f>+ROUND(300*Inflation_Rate,0)</f>
        <v>312</v>
      </c>
      <c r="V36">
        <v>312</v>
      </c>
    </row>
    <row r="37" spans="1:26" ht="13.8" x14ac:dyDescent="0.25">
      <c r="A37" s="259" t="s">
        <v>281</v>
      </c>
      <c r="B37" s="83" t="s">
        <v>249</v>
      </c>
      <c r="G37" s="211">
        <v>103</v>
      </c>
      <c r="R37" s="268">
        <f t="shared" si="6"/>
        <v>103</v>
      </c>
      <c r="S37" s="243"/>
    </row>
    <row r="38" spans="1:26" ht="13.8" x14ac:dyDescent="0.25">
      <c r="A38" s="29"/>
      <c r="B38" s="230" t="s">
        <v>334</v>
      </c>
      <c r="C38" s="318">
        <f>+'BudgerandActual Spend 24-25'!I16</f>
        <v>124</v>
      </c>
      <c r="D38" s="318">
        <f>+'Spend Jan-Mar25'!H41</f>
        <v>0</v>
      </c>
      <c r="E38" s="318">
        <f>+D38+C38</f>
        <v>124</v>
      </c>
      <c r="F38" s="231">
        <f t="shared" ref="F38:Q38" si="14">SUM(F37:F37)</f>
        <v>0</v>
      </c>
      <c r="G38" s="231">
        <f t="shared" si="14"/>
        <v>103</v>
      </c>
      <c r="H38" s="231">
        <f t="shared" si="14"/>
        <v>0</v>
      </c>
      <c r="I38" s="231">
        <f t="shared" si="14"/>
        <v>0</v>
      </c>
      <c r="J38" s="231">
        <f t="shared" si="14"/>
        <v>0</v>
      </c>
      <c r="K38" s="231">
        <f t="shared" si="14"/>
        <v>0</v>
      </c>
      <c r="L38" s="231">
        <f t="shared" si="14"/>
        <v>0</v>
      </c>
      <c r="M38" s="231">
        <f t="shared" si="14"/>
        <v>0</v>
      </c>
      <c r="N38" s="231">
        <f t="shared" si="14"/>
        <v>0</v>
      </c>
      <c r="O38" s="231">
        <f t="shared" si="14"/>
        <v>0</v>
      </c>
      <c r="P38" s="231">
        <f t="shared" si="14"/>
        <v>0</v>
      </c>
      <c r="Q38" s="247">
        <f t="shared" si="14"/>
        <v>0</v>
      </c>
      <c r="R38" s="314">
        <f t="shared" si="6"/>
        <v>103</v>
      </c>
      <c r="S38" s="308">
        <f>+E38-R38</f>
        <v>21</v>
      </c>
      <c r="T38" s="29"/>
      <c r="U38" s="285">
        <v>107</v>
      </c>
      <c r="V38">
        <f>+ROUND(R38*Inflation_Rate,0)</f>
        <v>107</v>
      </c>
    </row>
    <row r="39" spans="1:26" ht="13.8" x14ac:dyDescent="0.25">
      <c r="A39" s="257" t="s">
        <v>281</v>
      </c>
      <c r="B39" s="83" t="s">
        <v>396</v>
      </c>
      <c r="J39" s="211">
        <v>378</v>
      </c>
      <c r="R39" s="268">
        <f t="shared" si="6"/>
        <v>378</v>
      </c>
      <c r="S39" s="243"/>
    </row>
    <row r="40" spans="1:26" ht="13.8" x14ac:dyDescent="0.25">
      <c r="A40" s="296" t="s">
        <v>371</v>
      </c>
      <c r="B40" s="83" t="s">
        <v>381</v>
      </c>
      <c r="L40" s="287">
        <f>((SUM(F39:L39)*0.16671)*-1)-SUM(F40:K40)</f>
        <v>-63.016379999999998</v>
      </c>
      <c r="Q40" s="287">
        <f>((SUM(R39)*0.16671)*-1)-SUM(F40:P40)</f>
        <v>0</v>
      </c>
      <c r="R40" s="268">
        <f t="shared" si="6"/>
        <v>-63.016379999999998</v>
      </c>
      <c r="S40" s="243"/>
    </row>
    <row r="41" spans="1:26" ht="13.8" x14ac:dyDescent="0.25">
      <c r="A41" s="29"/>
      <c r="B41" s="230" t="s">
        <v>397</v>
      </c>
      <c r="C41" s="318">
        <f>+'BudgerandActual Spend 24-25'!I17</f>
        <v>450</v>
      </c>
      <c r="D41" s="318">
        <f>+'Spend Jan-Mar25'!H44</f>
        <v>0</v>
      </c>
      <c r="E41" s="318">
        <f>+D41+C41</f>
        <v>450</v>
      </c>
      <c r="F41" s="231">
        <f>SUM(F39:F40)</f>
        <v>0</v>
      </c>
      <c r="G41" s="231">
        <f t="shared" ref="G41:Q41" si="15">SUM(G39:G40)</f>
        <v>0</v>
      </c>
      <c r="H41" s="231">
        <f t="shared" si="15"/>
        <v>0</v>
      </c>
      <c r="I41" s="231">
        <f t="shared" si="15"/>
        <v>0</v>
      </c>
      <c r="J41" s="231">
        <f t="shared" si="15"/>
        <v>378</v>
      </c>
      <c r="K41" s="231">
        <f t="shared" si="15"/>
        <v>0</v>
      </c>
      <c r="L41" s="231">
        <f t="shared" si="15"/>
        <v>-63.016379999999998</v>
      </c>
      <c r="M41" s="231">
        <f t="shared" si="15"/>
        <v>0</v>
      </c>
      <c r="N41" s="231">
        <f t="shared" si="15"/>
        <v>0</v>
      </c>
      <c r="O41" s="231">
        <f t="shared" si="15"/>
        <v>0</v>
      </c>
      <c r="P41" s="231">
        <f t="shared" si="15"/>
        <v>0</v>
      </c>
      <c r="Q41" s="247">
        <f t="shared" si="15"/>
        <v>0</v>
      </c>
      <c r="R41" s="314">
        <f t="shared" ref="R41:R44" si="16">SUM(F41:Q41)</f>
        <v>314.98361999999997</v>
      </c>
      <c r="S41" s="308">
        <f>+E41-R41</f>
        <v>135.01638000000003</v>
      </c>
      <c r="T41" s="29"/>
      <c r="U41" s="285">
        <v>328</v>
      </c>
      <c r="V41">
        <f>+ROUND(R41*Inflation_Rate,0)</f>
        <v>328</v>
      </c>
    </row>
    <row r="42" spans="1:26" ht="13.8" x14ac:dyDescent="0.25">
      <c r="B42" s="83" t="s">
        <v>319</v>
      </c>
      <c r="R42" s="268">
        <f t="shared" si="16"/>
        <v>0</v>
      </c>
      <c r="S42" s="243"/>
      <c r="Z42" s="348">
        <v>1958</v>
      </c>
    </row>
    <row r="43" spans="1:26" ht="13.8" x14ac:dyDescent="0.25">
      <c r="A43" t="s">
        <v>371</v>
      </c>
      <c r="B43" s="83" t="s">
        <v>317</v>
      </c>
      <c r="Q43" s="287">
        <f>((SUM(R42)*0.16671)*-1)-SUM(F43:P43)</f>
        <v>0</v>
      </c>
      <c r="R43" s="268">
        <f t="shared" si="16"/>
        <v>0</v>
      </c>
      <c r="S43" s="243"/>
    </row>
    <row r="44" spans="1:26" ht="13.8" x14ac:dyDescent="0.25">
      <c r="A44" s="29"/>
      <c r="B44" s="230" t="s">
        <v>336</v>
      </c>
      <c r="C44" s="320">
        <v>0</v>
      </c>
      <c r="D44" s="321">
        <f>+'Spend Jan-Mar25'!H57</f>
        <v>0</v>
      </c>
      <c r="E44" s="318">
        <f>+D44+C44</f>
        <v>0</v>
      </c>
      <c r="F44" s="231">
        <f t="shared" ref="F44" si="17">SUM(F42:F43)</f>
        <v>0</v>
      </c>
      <c r="G44" s="231">
        <f t="shared" ref="G44" si="18">SUM(G42:G43)</f>
        <v>0</v>
      </c>
      <c r="H44" s="231">
        <f t="shared" ref="H44" si="19">SUM(H42:H43)</f>
        <v>0</v>
      </c>
      <c r="I44" s="231">
        <f t="shared" ref="I44" si="20">SUM(I42:I43)</f>
        <v>0</v>
      </c>
      <c r="J44" s="231">
        <f>SUM(J42:J43)</f>
        <v>0</v>
      </c>
      <c r="K44" s="231">
        <f t="shared" ref="K44:O44" si="21">SUM(K42:K43)</f>
        <v>0</v>
      </c>
      <c r="L44" s="231">
        <f t="shared" si="21"/>
        <v>0</v>
      </c>
      <c r="M44" s="231">
        <f t="shared" si="21"/>
        <v>0</v>
      </c>
      <c r="N44" s="231">
        <f t="shared" si="21"/>
        <v>0</v>
      </c>
      <c r="O44" s="231">
        <f t="shared" si="21"/>
        <v>0</v>
      </c>
      <c r="P44" s="231">
        <f>SUM(P42:P43)</f>
        <v>0</v>
      </c>
      <c r="Q44" s="247">
        <f>SUM(Q42:Q43)</f>
        <v>0</v>
      </c>
      <c r="R44" s="314">
        <f t="shared" si="16"/>
        <v>0</v>
      </c>
      <c r="S44" s="308">
        <f>+E44-R44</f>
        <v>0</v>
      </c>
      <c r="T44" s="29"/>
      <c r="U44" s="292">
        <v>3000</v>
      </c>
      <c r="V44">
        <v>3000</v>
      </c>
    </row>
    <row r="45" spans="1:26" ht="13.8" x14ac:dyDescent="0.25">
      <c r="B45" s="83" t="s">
        <v>139</v>
      </c>
      <c r="R45" s="268">
        <f t="shared" si="6"/>
        <v>0</v>
      </c>
      <c r="S45" s="243"/>
    </row>
    <row r="46" spans="1:26" ht="13.8" x14ac:dyDescent="0.25">
      <c r="A46" s="29"/>
      <c r="B46" s="230" t="s">
        <v>337</v>
      </c>
      <c r="C46" s="320">
        <f>+'BudgerandActual Spend 24-25'!I22</f>
        <v>250</v>
      </c>
      <c r="D46" s="321">
        <f>+'Spend Jan-Mar25'!H59</f>
        <v>0</v>
      </c>
      <c r="E46" s="318">
        <f>+D46+C46</f>
        <v>250</v>
      </c>
      <c r="F46" s="231">
        <f t="shared" ref="F46:Q46" si="22">SUM(F45:F45)</f>
        <v>0</v>
      </c>
      <c r="G46" s="231">
        <f t="shared" si="22"/>
        <v>0</v>
      </c>
      <c r="H46" s="231">
        <f t="shared" si="22"/>
        <v>0</v>
      </c>
      <c r="I46" s="231">
        <f t="shared" si="22"/>
        <v>0</v>
      </c>
      <c r="J46" s="231">
        <f t="shared" si="22"/>
        <v>0</v>
      </c>
      <c r="K46" s="231">
        <f t="shared" si="22"/>
        <v>0</v>
      </c>
      <c r="L46" s="231">
        <f t="shared" si="22"/>
        <v>0</v>
      </c>
      <c r="M46" s="231">
        <f t="shared" si="22"/>
        <v>0</v>
      </c>
      <c r="N46" s="231">
        <f t="shared" si="22"/>
        <v>0</v>
      </c>
      <c r="O46" s="231">
        <f t="shared" si="22"/>
        <v>0</v>
      </c>
      <c r="P46" s="231">
        <f t="shared" si="22"/>
        <v>0</v>
      </c>
      <c r="Q46" s="247">
        <f t="shared" si="22"/>
        <v>0</v>
      </c>
      <c r="R46" s="314">
        <f t="shared" si="6"/>
        <v>0</v>
      </c>
      <c r="S46" s="308">
        <f>+E46-R46</f>
        <v>250</v>
      </c>
      <c r="T46" s="29"/>
      <c r="U46" s="285">
        <v>0</v>
      </c>
      <c r="V46">
        <f>+ROUND(R46*Inflation_Rate,0)</f>
        <v>0</v>
      </c>
    </row>
    <row r="47" spans="1:26" ht="13.8" x14ac:dyDescent="0.25">
      <c r="A47" s="15" t="s">
        <v>283</v>
      </c>
      <c r="B47" s="83" t="s">
        <v>153</v>
      </c>
      <c r="D47" s="243"/>
      <c r="R47" s="268">
        <f t="shared" si="6"/>
        <v>0</v>
      </c>
      <c r="S47" s="243"/>
    </row>
    <row r="48" spans="1:26" ht="13.8" x14ac:dyDescent="0.25">
      <c r="A48" s="246"/>
      <c r="B48" s="230" t="s">
        <v>338</v>
      </c>
      <c r="C48" s="320">
        <f>+'BudgerandActual Spend 24-25'!I28</f>
        <v>1700</v>
      </c>
      <c r="D48" s="321">
        <f>+'Spend Jan-Mar25'!H77</f>
        <v>0</v>
      </c>
      <c r="E48" s="318">
        <f>+D48+C48</f>
        <v>1700</v>
      </c>
      <c r="F48" s="231">
        <f t="shared" ref="F48:Q48" si="23">SUM(F47:F47)</f>
        <v>0</v>
      </c>
      <c r="G48" s="231">
        <f t="shared" si="23"/>
        <v>0</v>
      </c>
      <c r="H48" s="231">
        <f t="shared" si="23"/>
        <v>0</v>
      </c>
      <c r="I48" s="231">
        <f t="shared" si="23"/>
        <v>0</v>
      </c>
      <c r="J48" s="231">
        <f t="shared" si="23"/>
        <v>0</v>
      </c>
      <c r="K48" s="231">
        <f t="shared" si="23"/>
        <v>0</v>
      </c>
      <c r="L48" s="231">
        <f t="shared" si="23"/>
        <v>0</v>
      </c>
      <c r="M48" s="231">
        <f t="shared" si="23"/>
        <v>0</v>
      </c>
      <c r="N48" s="231">
        <f t="shared" si="23"/>
        <v>0</v>
      </c>
      <c r="O48" s="231">
        <f t="shared" si="23"/>
        <v>0</v>
      </c>
      <c r="P48" s="231">
        <f t="shared" si="23"/>
        <v>0</v>
      </c>
      <c r="Q48" s="247">
        <f t="shared" si="23"/>
        <v>0</v>
      </c>
      <c r="R48" s="314">
        <f t="shared" si="6"/>
        <v>0</v>
      </c>
      <c r="S48" s="308">
        <f>+E48-R48</f>
        <v>1700</v>
      </c>
      <c r="T48" s="29"/>
      <c r="U48" s="292">
        <f>+ROUND(1700,0)*Inflation_Rate</f>
        <v>1768</v>
      </c>
      <c r="V48">
        <v>1768</v>
      </c>
    </row>
    <row r="49" spans="1:26" ht="13.8" x14ac:dyDescent="0.25">
      <c r="A49" s="257" t="s">
        <v>284</v>
      </c>
      <c r="B49" s="83" t="s">
        <v>243</v>
      </c>
      <c r="G49" s="211">
        <v>6805.2</v>
      </c>
      <c r="R49" s="268">
        <f t="shared" si="6"/>
        <v>6805.2</v>
      </c>
      <c r="S49" s="243"/>
      <c r="T49" s="15" t="s">
        <v>302</v>
      </c>
    </row>
    <row r="50" spans="1:26" ht="13.8" x14ac:dyDescent="0.25">
      <c r="A50" s="257" t="s">
        <v>284</v>
      </c>
      <c r="B50" s="83" t="s">
        <v>294</v>
      </c>
      <c r="J50" s="211">
        <v>781.68</v>
      </c>
      <c r="R50" s="268">
        <f t="shared" ref="R50:R55" si="24">SUM(F50:Q50)</f>
        <v>781.68</v>
      </c>
      <c r="S50" s="243"/>
    </row>
    <row r="51" spans="1:26" ht="13.8" x14ac:dyDescent="0.25">
      <c r="A51" s="257" t="s">
        <v>284</v>
      </c>
      <c r="B51" s="83" t="s">
        <v>248</v>
      </c>
      <c r="I51" s="211">
        <v>13968</v>
      </c>
      <c r="R51" s="268">
        <f t="shared" si="24"/>
        <v>13968</v>
      </c>
      <c r="S51" s="243"/>
    </row>
    <row r="52" spans="1:26" ht="13.8" x14ac:dyDescent="0.25">
      <c r="A52" s="257" t="s">
        <v>284</v>
      </c>
      <c r="B52" s="83" t="s">
        <v>416</v>
      </c>
      <c r="R52" s="268">
        <f t="shared" si="24"/>
        <v>0</v>
      </c>
      <c r="S52" s="243"/>
      <c r="V52" s="344" t="s">
        <v>421</v>
      </c>
      <c r="Z52" s="258">
        <f>4287*1.2</f>
        <v>5144.3999999999996</v>
      </c>
    </row>
    <row r="53" spans="1:26" ht="13.8" x14ac:dyDescent="0.25">
      <c r="A53" s="257" t="s">
        <v>284</v>
      </c>
      <c r="B53" s="83" t="s">
        <v>418</v>
      </c>
      <c r="P53" s="211">
        <v>33.590000000000003</v>
      </c>
      <c r="Q53" s="243"/>
      <c r="R53" s="268">
        <f t="shared" si="24"/>
        <v>33.590000000000003</v>
      </c>
      <c r="S53" s="243"/>
    </row>
    <row r="54" spans="1:26" ht="13.8" x14ac:dyDescent="0.25">
      <c r="A54" s="257" t="s">
        <v>284</v>
      </c>
      <c r="B54" s="83" t="s">
        <v>417</v>
      </c>
      <c r="R54" s="268">
        <f t="shared" si="24"/>
        <v>0</v>
      </c>
      <c r="S54" s="243"/>
      <c r="V54" s="344" t="s">
        <v>420</v>
      </c>
      <c r="Z54" s="258">
        <v>1400</v>
      </c>
    </row>
    <row r="55" spans="1:26" ht="13.8" x14ac:dyDescent="0.25">
      <c r="A55" s="296"/>
      <c r="B55" s="83" t="s">
        <v>317</v>
      </c>
      <c r="L55" s="287">
        <f>((SUM(F49:L51)*0.16671)*-1)-SUM(F55:K55)</f>
        <v>-3593.4140448000003</v>
      </c>
      <c r="Q55" s="287">
        <f>((SUM(R49:R54)*0.16671)*-1)-SUM(F55:P55)</f>
        <v>-5.5997889000000214</v>
      </c>
      <c r="R55" s="268">
        <f t="shared" si="24"/>
        <v>-3599.0138337000003</v>
      </c>
      <c r="S55" s="243"/>
    </row>
    <row r="56" spans="1:26" ht="13.8" x14ac:dyDescent="0.25">
      <c r="A56" s="246" t="s">
        <v>284</v>
      </c>
      <c r="B56" s="230" t="s">
        <v>339</v>
      </c>
      <c r="C56" s="320">
        <f>+'BudgerandActual Spend 24-25'!I32</f>
        <v>15000</v>
      </c>
      <c r="D56" s="319">
        <f>+'Spend Jan-Mar25'!H90</f>
        <v>500</v>
      </c>
      <c r="E56" s="318">
        <f>+D56+C56</f>
        <v>15500</v>
      </c>
      <c r="F56" s="231">
        <f>SUM(F49:F55)</f>
        <v>0</v>
      </c>
      <c r="G56" s="231">
        <f>SUM(G49:G55)</f>
        <v>6805.2</v>
      </c>
      <c r="H56" s="231">
        <f>SUM(H49:H55)</f>
        <v>0</v>
      </c>
      <c r="I56" s="231">
        <f>SUM(I49:I55)</f>
        <v>13968</v>
      </c>
      <c r="J56" s="231">
        <f>SUM(J49:J55)</f>
        <v>781.68</v>
      </c>
      <c r="K56" s="231">
        <f t="shared" ref="K56:P56" si="25">SUM(K49:K55)</f>
        <v>0</v>
      </c>
      <c r="L56" s="231">
        <f t="shared" si="25"/>
        <v>-3593.4140448000003</v>
      </c>
      <c r="M56" s="231">
        <f t="shared" si="25"/>
        <v>0</v>
      </c>
      <c r="N56" s="231">
        <f t="shared" si="25"/>
        <v>0</v>
      </c>
      <c r="O56" s="231">
        <f t="shared" si="25"/>
        <v>0</v>
      </c>
      <c r="P56" s="231">
        <f t="shared" si="25"/>
        <v>33.590000000000003</v>
      </c>
      <c r="Q56" s="247">
        <f>SUM(Q49:Q55)</f>
        <v>-5.5997889000000214</v>
      </c>
      <c r="R56" s="314">
        <f>SUM(F56:Q56)</f>
        <v>17989.456166300002</v>
      </c>
      <c r="S56" s="308">
        <f>+E56-R56</f>
        <v>-2489.4561663000022</v>
      </c>
      <c r="T56" s="29"/>
      <c r="U56" s="292">
        <v>10000</v>
      </c>
      <c r="V56">
        <v>10000</v>
      </c>
      <c r="W56" s="15" t="s">
        <v>316</v>
      </c>
    </row>
    <row r="57" spans="1:26" ht="13.8" x14ac:dyDescent="0.25">
      <c r="A57" s="259" t="s">
        <v>281</v>
      </c>
      <c r="B57" s="83" t="s">
        <v>26</v>
      </c>
      <c r="M57" s="211">
        <v>184</v>
      </c>
      <c r="R57" s="268">
        <f t="shared" ref="R57:R58" si="26">SUM(F57:Q57)</f>
        <v>184</v>
      </c>
    </row>
    <row r="58" spans="1:26" ht="13.8" x14ac:dyDescent="0.25">
      <c r="A58" s="259" t="s">
        <v>281</v>
      </c>
      <c r="B58" s="202" t="s">
        <v>247</v>
      </c>
      <c r="C58" s="254"/>
      <c r="D58" s="254"/>
      <c r="E58" s="254"/>
      <c r="F58" s="255"/>
      <c r="G58" s="255"/>
      <c r="H58" s="255"/>
      <c r="I58" s="249">
        <v>25</v>
      </c>
      <c r="J58" s="255"/>
      <c r="K58" s="277"/>
      <c r="R58" s="268">
        <f t="shared" si="26"/>
        <v>25</v>
      </c>
    </row>
    <row r="59" spans="1:26" ht="13.8" x14ac:dyDescent="0.25">
      <c r="A59" s="246" t="s">
        <v>281</v>
      </c>
      <c r="B59" s="230" t="s">
        <v>340</v>
      </c>
      <c r="C59" s="320">
        <f>+'BudgerandActual Spend 24-25'!I36</f>
        <v>260</v>
      </c>
      <c r="D59" s="319">
        <f>+'Spend Jan-Mar25'!H102</f>
        <v>-40</v>
      </c>
      <c r="E59" s="318">
        <f>+D59+C59</f>
        <v>220</v>
      </c>
      <c r="F59" s="231">
        <f t="shared" ref="F59" si="27">SUM(F57:F57)</f>
        <v>0</v>
      </c>
      <c r="G59" s="231">
        <f t="shared" ref="G59:H59" si="28">SUM(G57:G58)</f>
        <v>0</v>
      </c>
      <c r="H59" s="231">
        <f t="shared" si="28"/>
        <v>0</v>
      </c>
      <c r="I59" s="231">
        <f>SUM(I57:I58)</f>
        <v>25</v>
      </c>
      <c r="J59" s="231">
        <f>SUM(J57:J58)</f>
        <v>0</v>
      </c>
      <c r="K59" s="231">
        <f>SUM(K57:K58)</f>
        <v>0</v>
      </c>
      <c r="L59" s="231">
        <f t="shared" ref="L59:Q59" si="29">SUM(L57:L58)</f>
        <v>0</v>
      </c>
      <c r="M59" s="231">
        <f t="shared" si="29"/>
        <v>184</v>
      </c>
      <c r="N59" s="231">
        <f t="shared" si="29"/>
        <v>0</v>
      </c>
      <c r="O59" s="231">
        <f t="shared" si="29"/>
        <v>0</v>
      </c>
      <c r="P59" s="231">
        <f t="shared" si="29"/>
        <v>0</v>
      </c>
      <c r="Q59" s="247">
        <f t="shared" si="29"/>
        <v>0</v>
      </c>
      <c r="R59" s="314">
        <f>SUM(F59:Q59)</f>
        <v>209</v>
      </c>
      <c r="S59" s="232">
        <f>+E59-R59</f>
        <v>11</v>
      </c>
      <c r="T59" s="29"/>
      <c r="U59" s="285">
        <v>217</v>
      </c>
      <c r="V59">
        <f>+ROUND(R59*Inflation_Rate,0)</f>
        <v>217</v>
      </c>
    </row>
    <row r="60" spans="1:26" ht="12.6" customHeight="1" x14ac:dyDescent="0.25">
      <c r="A60" s="199" t="s">
        <v>358</v>
      </c>
      <c r="B60" s="199"/>
      <c r="C60" s="115">
        <f t="shared" ref="C60:S60" si="30">+C5+C7+C12+C18+C22+C28+C31+C33+C36+C38+C41+C46+C48+C56+C59+C44</f>
        <v>35479.199999999997</v>
      </c>
      <c r="D60" s="115">
        <f t="shared" si="30"/>
        <v>-225.30000000000018</v>
      </c>
      <c r="E60" s="115">
        <f t="shared" si="30"/>
        <v>35253.9</v>
      </c>
      <c r="F60" s="115">
        <f t="shared" si="30"/>
        <v>1479.06</v>
      </c>
      <c r="G60" s="115">
        <f t="shared" si="30"/>
        <v>8562.619999999999</v>
      </c>
      <c r="H60" s="115">
        <f t="shared" si="30"/>
        <v>761.16</v>
      </c>
      <c r="I60" s="115">
        <f t="shared" si="30"/>
        <v>15623.41</v>
      </c>
      <c r="J60" s="115">
        <f t="shared" si="30"/>
        <v>2105.34</v>
      </c>
      <c r="K60" s="115">
        <f t="shared" si="30"/>
        <v>913.58</v>
      </c>
      <c r="L60" s="115">
        <f t="shared" si="30"/>
        <v>-2057.8674138000006</v>
      </c>
      <c r="M60" s="115">
        <f t="shared" si="30"/>
        <v>1004.5</v>
      </c>
      <c r="N60" s="115">
        <f t="shared" si="30"/>
        <v>1463.95</v>
      </c>
      <c r="O60" s="115">
        <f t="shared" si="30"/>
        <v>1595.94</v>
      </c>
      <c r="P60" s="115">
        <f t="shared" si="30"/>
        <v>854.09</v>
      </c>
      <c r="Q60" s="115">
        <f t="shared" si="30"/>
        <v>842.56267560000003</v>
      </c>
      <c r="R60" s="200">
        <f t="shared" si="30"/>
        <v>33148.345261800001</v>
      </c>
      <c r="S60" s="115">
        <f t="shared" si="30"/>
        <v>2105.5547382000022</v>
      </c>
      <c r="T60" s="115"/>
      <c r="U60" s="200">
        <f>SUM(U5:U59)</f>
        <v>31300</v>
      </c>
      <c r="V60" s="200">
        <f>SUM(V5:V59)</f>
        <v>31300</v>
      </c>
    </row>
    <row r="61" spans="1:26" ht="12.6" customHeight="1" x14ac:dyDescent="0.25"/>
    <row r="62" spans="1:26" ht="27.6" customHeight="1" x14ac:dyDescent="0.25">
      <c r="A62" s="407" t="s">
        <v>341</v>
      </c>
      <c r="B62" s="407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</row>
    <row r="63" spans="1:26" ht="13.8" x14ac:dyDescent="0.25">
      <c r="A63" s="257" t="s">
        <v>282</v>
      </c>
      <c r="B63" s="83" t="s">
        <v>292</v>
      </c>
      <c r="J63" s="211">
        <v>980.4</v>
      </c>
      <c r="R63" s="268">
        <f t="shared" ref="R63:R79" si="31">SUM(F63:Q63)</f>
        <v>980.4</v>
      </c>
      <c r="X63" s="6"/>
    </row>
    <row r="64" spans="1:26" ht="13.8" x14ac:dyDescent="0.25">
      <c r="A64" s="296"/>
      <c r="B64" s="83" t="s">
        <v>317</v>
      </c>
      <c r="L64" s="287">
        <f>((SUM(F63:L63)*0.16671)*-1)-SUM(F64:K64)</f>
        <v>-163.44248400000001</v>
      </c>
      <c r="Q64" s="210">
        <f>((SUM(R63)*0.16671)*-1)-SUM(F64:P64)</f>
        <v>0</v>
      </c>
      <c r="R64" s="268">
        <f t="shared" si="31"/>
        <v>-163.44248400000001</v>
      </c>
    </row>
    <row r="65" spans="1:22" ht="13.8" x14ac:dyDescent="0.25">
      <c r="A65" s="246"/>
      <c r="B65" s="230" t="s">
        <v>342</v>
      </c>
      <c r="C65" s="320">
        <f>+'BudgerandActual Spend 24-25'!I23</f>
        <v>833</v>
      </c>
      <c r="D65" s="319">
        <f>+'Spend Jan-Mar25'!H62</f>
        <v>800</v>
      </c>
      <c r="E65" s="318">
        <f>+D65+C65</f>
        <v>1633</v>
      </c>
      <c r="F65" s="231">
        <f t="shared" ref="F65" si="32">SUM(F63:F64)</f>
        <v>0</v>
      </c>
      <c r="G65" s="231">
        <f t="shared" ref="G65:P65" si="33">SUM(G63:G64)</f>
        <v>0</v>
      </c>
      <c r="H65" s="231">
        <f t="shared" si="33"/>
        <v>0</v>
      </c>
      <c r="I65" s="231">
        <f t="shared" si="33"/>
        <v>0</v>
      </c>
      <c r="J65" s="231">
        <f t="shared" si="33"/>
        <v>980.4</v>
      </c>
      <c r="K65" s="231">
        <f t="shared" si="33"/>
        <v>0</v>
      </c>
      <c r="L65" s="231">
        <f t="shared" si="33"/>
        <v>-163.44248400000001</v>
      </c>
      <c r="M65" s="231">
        <f t="shared" si="33"/>
        <v>0</v>
      </c>
      <c r="N65" s="231">
        <f t="shared" si="33"/>
        <v>0</v>
      </c>
      <c r="O65" s="231">
        <f t="shared" si="33"/>
        <v>0</v>
      </c>
      <c r="P65" s="231">
        <f t="shared" si="33"/>
        <v>0</v>
      </c>
      <c r="Q65" s="231">
        <f>SUM(Q63:Q64)</f>
        <v>0</v>
      </c>
      <c r="R65" s="314">
        <f t="shared" si="31"/>
        <v>816.95751599999994</v>
      </c>
      <c r="S65" s="308">
        <f>+E65-R65</f>
        <v>816.04248400000006</v>
      </c>
      <c r="T65" s="29"/>
      <c r="U65" s="285">
        <v>850</v>
      </c>
      <c r="V65">
        <f>+ROUND(R65*Inflation_Rate,0)</f>
        <v>850</v>
      </c>
    </row>
    <row r="66" spans="1:22" ht="13.8" x14ac:dyDescent="0.25">
      <c r="A66" s="259" t="s">
        <v>282</v>
      </c>
      <c r="B66" s="83" t="s">
        <v>7</v>
      </c>
      <c r="O66" s="211">
        <v>250</v>
      </c>
      <c r="R66" s="268">
        <f t="shared" si="31"/>
        <v>250</v>
      </c>
      <c r="S66" s="243"/>
    </row>
    <row r="67" spans="1:22" ht="13.8" x14ac:dyDescent="0.25">
      <c r="A67" s="246"/>
      <c r="B67" s="230" t="s">
        <v>343</v>
      </c>
      <c r="C67" s="320">
        <f>+'BudgerandActual Spend 24-25'!I24</f>
        <v>250</v>
      </c>
      <c r="D67" s="319">
        <f>+'Spend Jan-Mar25'!H65</f>
        <v>0</v>
      </c>
      <c r="E67" s="318">
        <f>+D67+C67</f>
        <v>250</v>
      </c>
      <c r="F67" s="231">
        <f t="shared" ref="F67:Q67" si="34">SUM(F66:F66)</f>
        <v>0</v>
      </c>
      <c r="G67" s="231">
        <f t="shared" si="34"/>
        <v>0</v>
      </c>
      <c r="H67" s="231">
        <f t="shared" si="34"/>
        <v>0</v>
      </c>
      <c r="I67" s="231">
        <f t="shared" si="34"/>
        <v>0</v>
      </c>
      <c r="J67" s="231">
        <f t="shared" si="34"/>
        <v>0</v>
      </c>
      <c r="K67" s="231">
        <f t="shared" si="34"/>
        <v>0</v>
      </c>
      <c r="L67" s="231">
        <f t="shared" si="34"/>
        <v>0</v>
      </c>
      <c r="M67" s="231">
        <f t="shared" si="34"/>
        <v>0</v>
      </c>
      <c r="N67" s="231">
        <f>SUM(N66:N66)</f>
        <v>0</v>
      </c>
      <c r="O67" s="231">
        <f>SUM(O66:O66)</f>
        <v>250</v>
      </c>
      <c r="P67" s="231">
        <f t="shared" si="34"/>
        <v>0</v>
      </c>
      <c r="Q67" s="231">
        <f t="shared" si="34"/>
        <v>0</v>
      </c>
      <c r="R67" s="314">
        <f t="shared" si="31"/>
        <v>250</v>
      </c>
      <c r="S67" s="308">
        <f>+E67-R67</f>
        <v>0</v>
      </c>
      <c r="T67" s="29"/>
      <c r="U67" s="285">
        <v>260</v>
      </c>
      <c r="V67">
        <f>+ROUND(R67*Inflation_Rate,0)</f>
        <v>260</v>
      </c>
    </row>
    <row r="68" spans="1:22" ht="13.8" x14ac:dyDescent="0.25">
      <c r="A68" s="259" t="s">
        <v>282</v>
      </c>
      <c r="B68" s="83" t="s">
        <v>13</v>
      </c>
      <c r="N68" s="211">
        <v>25</v>
      </c>
      <c r="R68" s="268">
        <f t="shared" si="31"/>
        <v>25</v>
      </c>
      <c r="S68" s="243"/>
      <c r="U68" s="271"/>
    </row>
    <row r="69" spans="1:22" ht="13.8" x14ac:dyDescent="0.25">
      <c r="A69" s="246"/>
      <c r="B69" s="230" t="s">
        <v>344</v>
      </c>
      <c r="C69" s="320">
        <f>+'BudgerandActual Spend 24-25'!I25</f>
        <v>31</v>
      </c>
      <c r="D69" s="319">
        <f>+'Spend Jan-Mar25'!H68</f>
        <v>0</v>
      </c>
      <c r="E69" s="318">
        <f>+D69+C69</f>
        <v>31</v>
      </c>
      <c r="F69" s="231">
        <f t="shared" ref="F69:Q69" si="35">SUM(F68:F68)</f>
        <v>0</v>
      </c>
      <c r="G69" s="231">
        <f t="shared" si="35"/>
        <v>0</v>
      </c>
      <c r="H69" s="231">
        <f t="shared" si="35"/>
        <v>0</v>
      </c>
      <c r="I69" s="231">
        <f t="shared" si="35"/>
        <v>0</v>
      </c>
      <c r="J69" s="231">
        <f t="shared" si="35"/>
        <v>0</v>
      </c>
      <c r="K69" s="231">
        <f t="shared" si="35"/>
        <v>0</v>
      </c>
      <c r="L69" s="231">
        <f t="shared" si="35"/>
        <v>0</v>
      </c>
      <c r="M69" s="231">
        <f t="shared" si="35"/>
        <v>0</v>
      </c>
      <c r="N69" s="231">
        <f t="shared" si="35"/>
        <v>25</v>
      </c>
      <c r="O69" s="231">
        <f t="shared" si="35"/>
        <v>0</v>
      </c>
      <c r="P69" s="231">
        <f t="shared" si="35"/>
        <v>0</v>
      </c>
      <c r="Q69" s="231">
        <f t="shared" si="35"/>
        <v>0</v>
      </c>
      <c r="R69" s="314">
        <f t="shared" si="31"/>
        <v>25</v>
      </c>
      <c r="S69" s="308">
        <f>+E69-R69</f>
        <v>6</v>
      </c>
      <c r="T69" s="29"/>
      <c r="U69" s="285">
        <v>26</v>
      </c>
      <c r="V69">
        <f>+ROUND(R69*Inflation_Rate,0)</f>
        <v>26</v>
      </c>
    </row>
    <row r="70" spans="1:22" ht="13.8" x14ac:dyDescent="0.25">
      <c r="A70" s="260" t="s">
        <v>282</v>
      </c>
      <c r="B70" s="83" t="s">
        <v>15</v>
      </c>
      <c r="N70" s="211">
        <v>260</v>
      </c>
      <c r="R70" s="268">
        <f t="shared" si="31"/>
        <v>260</v>
      </c>
      <c r="S70" s="243"/>
      <c r="U70" s="271"/>
    </row>
    <row r="71" spans="1:22" ht="13.8" x14ac:dyDescent="0.25">
      <c r="A71" s="246"/>
      <c r="B71" s="230" t="s">
        <v>345</v>
      </c>
      <c r="C71" s="320">
        <f>+'BudgerandActual Spend 24-25'!I26</f>
        <v>260</v>
      </c>
      <c r="D71" s="319">
        <f>+'Spend Jan-Mar25'!H71</f>
        <v>0</v>
      </c>
      <c r="E71" s="318">
        <f>+D71+C71</f>
        <v>260</v>
      </c>
      <c r="F71" s="231">
        <f t="shared" ref="F71:Q71" si="36">SUM(F70:F70)</f>
        <v>0</v>
      </c>
      <c r="G71" s="231">
        <f t="shared" si="36"/>
        <v>0</v>
      </c>
      <c r="H71" s="231">
        <f t="shared" si="36"/>
        <v>0</v>
      </c>
      <c r="I71" s="231">
        <f t="shared" si="36"/>
        <v>0</v>
      </c>
      <c r="J71" s="231">
        <f t="shared" si="36"/>
        <v>0</v>
      </c>
      <c r="K71" s="231">
        <f t="shared" si="36"/>
        <v>0</v>
      </c>
      <c r="L71" s="231">
        <f t="shared" si="36"/>
        <v>0</v>
      </c>
      <c r="M71" s="231">
        <f t="shared" si="36"/>
        <v>0</v>
      </c>
      <c r="N71" s="231">
        <f t="shared" si="36"/>
        <v>260</v>
      </c>
      <c r="O71" s="231">
        <f t="shared" si="36"/>
        <v>0</v>
      </c>
      <c r="P71" s="231">
        <f t="shared" si="36"/>
        <v>0</v>
      </c>
      <c r="Q71" s="231">
        <f t="shared" si="36"/>
        <v>0</v>
      </c>
      <c r="R71" s="314">
        <f t="shared" si="31"/>
        <v>260</v>
      </c>
      <c r="S71" s="308">
        <f>+E71-R71</f>
        <v>0</v>
      </c>
      <c r="T71" s="29"/>
      <c r="U71" s="285">
        <v>270</v>
      </c>
      <c r="V71">
        <f>+ROUND(R71*Inflation_Rate,0)</f>
        <v>270</v>
      </c>
    </row>
    <row r="72" spans="1:22" ht="13.8" x14ac:dyDescent="0.25">
      <c r="A72" s="259" t="s">
        <v>282</v>
      </c>
      <c r="B72" s="83" t="s">
        <v>425</v>
      </c>
      <c r="I72" s="211">
        <v>500</v>
      </c>
      <c r="R72" s="268">
        <f t="shared" si="31"/>
        <v>500</v>
      </c>
      <c r="S72" s="243"/>
      <c r="U72" s="271"/>
    </row>
    <row r="73" spans="1:22" ht="13.8" x14ac:dyDescent="0.25">
      <c r="A73" s="246"/>
      <c r="B73" s="230" t="s">
        <v>346</v>
      </c>
      <c r="C73" s="320">
        <f>+'BudgerandActual Spend 24-25'!I27</f>
        <v>521</v>
      </c>
      <c r="D73" s="319">
        <f>+'Spend Jan-Mar25'!H74</f>
        <v>0</v>
      </c>
      <c r="E73" s="318">
        <f>+D73+C73</f>
        <v>521</v>
      </c>
      <c r="F73" s="231">
        <f t="shared" ref="F73:Q73" si="37">SUM(F72:F72)</f>
        <v>0</v>
      </c>
      <c r="G73" s="231">
        <f t="shared" si="37"/>
        <v>0</v>
      </c>
      <c r="H73" s="231">
        <f t="shared" si="37"/>
        <v>0</v>
      </c>
      <c r="I73" s="231">
        <f t="shared" si="37"/>
        <v>500</v>
      </c>
      <c r="J73" s="231">
        <f t="shared" si="37"/>
        <v>0</v>
      </c>
      <c r="K73" s="231">
        <f t="shared" si="37"/>
        <v>0</v>
      </c>
      <c r="L73" s="231">
        <f t="shared" si="37"/>
        <v>0</v>
      </c>
      <c r="M73" s="231">
        <f t="shared" si="37"/>
        <v>0</v>
      </c>
      <c r="N73" s="231">
        <f t="shared" si="37"/>
        <v>0</v>
      </c>
      <c r="O73" s="231">
        <f t="shared" si="37"/>
        <v>0</v>
      </c>
      <c r="P73" s="231">
        <f t="shared" si="37"/>
        <v>0</v>
      </c>
      <c r="Q73" s="231">
        <f t="shared" si="37"/>
        <v>0</v>
      </c>
      <c r="R73" s="314">
        <f t="shared" si="31"/>
        <v>500</v>
      </c>
      <c r="S73" s="308">
        <f>+E73-R73</f>
        <v>21</v>
      </c>
      <c r="T73" s="29"/>
      <c r="U73" s="285">
        <v>520</v>
      </c>
      <c r="V73">
        <f>+ROUND(R73*Inflation_Rate,0)</f>
        <v>520</v>
      </c>
    </row>
    <row r="74" spans="1:22" ht="13.8" x14ac:dyDescent="0.25">
      <c r="A74" s="259" t="s">
        <v>282</v>
      </c>
      <c r="B74" s="83" t="s">
        <v>426</v>
      </c>
      <c r="O74" s="211">
        <v>260</v>
      </c>
      <c r="R74" s="268">
        <f t="shared" si="31"/>
        <v>260</v>
      </c>
      <c r="U74" s="271"/>
    </row>
    <row r="75" spans="1:22" ht="13.8" x14ac:dyDescent="0.25">
      <c r="A75" s="246" t="s">
        <v>282</v>
      </c>
      <c r="B75" s="230" t="s">
        <v>347</v>
      </c>
      <c r="C75" s="320">
        <f>+'BudgerandActual Spend 24-25'!I29</f>
        <v>260</v>
      </c>
      <c r="D75" s="319">
        <f>+'Spend Jan-Mar25'!H80</f>
        <v>0</v>
      </c>
      <c r="E75" s="318">
        <f>+D75+C75</f>
        <v>260</v>
      </c>
      <c r="F75" s="231">
        <f t="shared" ref="F75:Q75" si="38">SUM(F74:F74)</f>
        <v>0</v>
      </c>
      <c r="G75" s="231">
        <f t="shared" si="38"/>
        <v>0</v>
      </c>
      <c r="H75" s="231">
        <f t="shared" si="38"/>
        <v>0</v>
      </c>
      <c r="I75" s="231">
        <f t="shared" si="38"/>
        <v>0</v>
      </c>
      <c r="J75" s="231">
        <f t="shared" si="38"/>
        <v>0</v>
      </c>
      <c r="K75" s="231">
        <f t="shared" si="38"/>
        <v>0</v>
      </c>
      <c r="L75" s="231">
        <f t="shared" si="38"/>
        <v>0</v>
      </c>
      <c r="M75" s="231">
        <f t="shared" si="38"/>
        <v>0</v>
      </c>
      <c r="N75" s="231">
        <f t="shared" si="38"/>
        <v>0</v>
      </c>
      <c r="O75" s="231">
        <f t="shared" si="38"/>
        <v>260</v>
      </c>
      <c r="P75" s="231">
        <f t="shared" si="38"/>
        <v>0</v>
      </c>
      <c r="Q75" s="231">
        <f t="shared" si="38"/>
        <v>0</v>
      </c>
      <c r="R75" s="314">
        <f t="shared" si="31"/>
        <v>260</v>
      </c>
      <c r="S75" s="308">
        <f>+E75-R75</f>
        <v>0</v>
      </c>
      <c r="T75" s="29"/>
      <c r="U75" s="285">
        <v>270</v>
      </c>
      <c r="V75">
        <f>+ROUND(R75*Inflation_Rate,0)</f>
        <v>270</v>
      </c>
    </row>
    <row r="76" spans="1:22" ht="13.8" x14ac:dyDescent="0.25">
      <c r="A76" s="257" t="s">
        <v>282</v>
      </c>
      <c r="B76" s="83" t="s">
        <v>424</v>
      </c>
      <c r="R76" s="268">
        <f t="shared" si="31"/>
        <v>0</v>
      </c>
      <c r="U76" s="271"/>
    </row>
    <row r="77" spans="1:22" ht="13.8" x14ac:dyDescent="0.25">
      <c r="A77" s="296"/>
      <c r="B77" s="83" t="s">
        <v>317</v>
      </c>
      <c r="Q77" s="287">
        <f>((SUM(R76)*0.16673)*-1)-SUM(F77:P77)</f>
        <v>0</v>
      </c>
      <c r="R77" s="268">
        <f t="shared" si="31"/>
        <v>0</v>
      </c>
      <c r="U77" s="271"/>
    </row>
    <row r="78" spans="1:22" ht="13.8" x14ac:dyDescent="0.25">
      <c r="A78" s="246" t="s">
        <v>282</v>
      </c>
      <c r="B78" s="230" t="s">
        <v>348</v>
      </c>
      <c r="C78" s="320">
        <f>+'BudgerandActual Spend 24-25'!I31</f>
        <v>500</v>
      </c>
      <c r="D78" s="319">
        <f>+'Spend Jan-Mar25'!H86</f>
        <v>0</v>
      </c>
      <c r="E78" s="318">
        <f>+D78+C78</f>
        <v>500</v>
      </c>
      <c r="F78" s="231">
        <f t="shared" ref="F78" si="39">SUM(F76:F77)</f>
        <v>0</v>
      </c>
      <c r="G78" s="231">
        <f t="shared" ref="G78:P78" si="40">SUM(G76:G77)</f>
        <v>0</v>
      </c>
      <c r="H78" s="231">
        <f t="shared" si="40"/>
        <v>0</v>
      </c>
      <c r="I78" s="231">
        <f t="shared" si="40"/>
        <v>0</v>
      </c>
      <c r="J78" s="231">
        <f t="shared" si="40"/>
        <v>0</v>
      </c>
      <c r="K78" s="231">
        <f t="shared" si="40"/>
        <v>0</v>
      </c>
      <c r="L78" s="231">
        <f t="shared" si="40"/>
        <v>0</v>
      </c>
      <c r="M78" s="231">
        <f t="shared" si="40"/>
        <v>0</v>
      </c>
      <c r="N78" s="231">
        <f t="shared" si="40"/>
        <v>0</v>
      </c>
      <c r="O78" s="231">
        <f t="shared" si="40"/>
        <v>0</v>
      </c>
      <c r="P78" s="231">
        <f t="shared" si="40"/>
        <v>0</v>
      </c>
      <c r="Q78" s="247">
        <f>SUM(Q76:Q77)</f>
        <v>0</v>
      </c>
      <c r="R78" s="314">
        <f t="shared" si="31"/>
        <v>0</v>
      </c>
      <c r="S78" s="308">
        <f>+E78-R78</f>
        <v>500</v>
      </c>
      <c r="T78" s="29"/>
      <c r="U78" s="285">
        <v>433</v>
      </c>
      <c r="V78">
        <v>433</v>
      </c>
    </row>
    <row r="79" spans="1:22" ht="13.8" x14ac:dyDescent="0.25">
      <c r="A79" s="257" t="s">
        <v>282</v>
      </c>
      <c r="B79" s="83" t="s">
        <v>23</v>
      </c>
      <c r="F79" s="332">
        <v>18.23</v>
      </c>
      <c r="G79" s="211">
        <v>17.64</v>
      </c>
      <c r="J79" s="211">
        <v>54.23</v>
      </c>
      <c r="O79" s="211">
        <f>2.74+21.37</f>
        <v>24.11</v>
      </c>
      <c r="Q79" s="332">
        <f>23.62+17.42</f>
        <v>41.040000000000006</v>
      </c>
      <c r="R79" s="268">
        <f t="shared" si="31"/>
        <v>155.25</v>
      </c>
      <c r="U79" s="271"/>
    </row>
    <row r="80" spans="1:22" ht="13.8" x14ac:dyDescent="0.25">
      <c r="A80" s="296"/>
      <c r="B80" s="83" t="s">
        <v>317</v>
      </c>
      <c r="L80" s="287">
        <f>((SUM(F79:L79)*0.16671)*-1)-SUM(F80:K80)</f>
        <v>-15.020570999999999</v>
      </c>
      <c r="Q80" s="287">
        <f>((SUM(R79)*0.16671)*-1)-SUM(F80:P80)</f>
        <v>-10.861156500000002</v>
      </c>
      <c r="R80" s="268">
        <f t="shared" ref="R80:R81" si="41">SUM(F80:Q80)</f>
        <v>-25.8817275</v>
      </c>
      <c r="U80" s="271"/>
    </row>
    <row r="81" spans="1:26" ht="13.8" x14ac:dyDescent="0.25">
      <c r="A81" s="246" t="s">
        <v>282</v>
      </c>
      <c r="B81" s="230" t="s">
        <v>349</v>
      </c>
      <c r="C81" s="320">
        <f>+'BudgerandActual Spend 24-25'!I34</f>
        <v>235</v>
      </c>
      <c r="D81" s="319">
        <f>+'Spend Jan-Mar25'!H96</f>
        <v>-25.620000000000005</v>
      </c>
      <c r="E81" s="318">
        <f>+D81+C81</f>
        <v>209.38</v>
      </c>
      <c r="F81" s="231">
        <f t="shared" ref="F81:L81" si="42">SUM(F79:F80)</f>
        <v>18.23</v>
      </c>
      <c r="G81" s="231">
        <f t="shared" si="42"/>
        <v>17.64</v>
      </c>
      <c r="H81" s="231">
        <f t="shared" si="42"/>
        <v>0</v>
      </c>
      <c r="I81" s="231">
        <f t="shared" si="42"/>
        <v>0</v>
      </c>
      <c r="J81" s="231">
        <f t="shared" si="42"/>
        <v>54.23</v>
      </c>
      <c r="K81" s="231">
        <f t="shared" si="42"/>
        <v>0</v>
      </c>
      <c r="L81" s="231">
        <f t="shared" si="42"/>
        <v>-15.020570999999999</v>
      </c>
      <c r="M81" s="231">
        <v>0</v>
      </c>
      <c r="N81" s="231">
        <f t="shared" ref="N81:O81" si="43">SUM(N79:N80)</f>
        <v>0</v>
      </c>
      <c r="O81" s="231">
        <f t="shared" si="43"/>
        <v>24.11</v>
      </c>
      <c r="P81" s="231">
        <v>0</v>
      </c>
      <c r="Q81" s="247">
        <f>SUM(Q79:Q80)</f>
        <v>30.178843500000006</v>
      </c>
      <c r="R81" s="314">
        <f t="shared" si="41"/>
        <v>129.36827249999999</v>
      </c>
      <c r="S81" s="308">
        <f>+E81-R81</f>
        <v>80.011727500000006</v>
      </c>
      <c r="T81" s="29"/>
      <c r="U81" s="292">
        <v>0</v>
      </c>
      <c r="V81" s="15">
        <v>0</v>
      </c>
    </row>
    <row r="82" spans="1:26" ht="13.8" x14ac:dyDescent="0.25">
      <c r="A82" s="113" t="s">
        <v>350</v>
      </c>
      <c r="B82" s="196"/>
      <c r="C82" s="322">
        <f>+C65+C67+C69+C71+C73+C75+C78+C81</f>
        <v>2890</v>
      </c>
      <c r="D82" s="322">
        <f>+D65+D67+D69+D71+D73+D75+D78+D81</f>
        <v>774.38</v>
      </c>
      <c r="E82" s="323">
        <f t="shared" ref="E82:S82" si="44">+E81+E78+E75+E73+E71+E69+E67+E65</f>
        <v>3664.38</v>
      </c>
      <c r="F82" s="212">
        <f t="shared" si="44"/>
        <v>18.23</v>
      </c>
      <c r="G82" s="212">
        <f t="shared" si="44"/>
        <v>17.64</v>
      </c>
      <c r="H82" s="212">
        <f t="shared" si="44"/>
        <v>0</v>
      </c>
      <c r="I82" s="212">
        <f t="shared" si="44"/>
        <v>500</v>
      </c>
      <c r="J82" s="212">
        <f t="shared" si="44"/>
        <v>1034.6299999999999</v>
      </c>
      <c r="K82" s="212">
        <f t="shared" si="44"/>
        <v>0</v>
      </c>
      <c r="L82" s="212">
        <f t="shared" si="44"/>
        <v>-178.463055</v>
      </c>
      <c r="M82" s="212">
        <f t="shared" si="44"/>
        <v>0</v>
      </c>
      <c r="N82" s="212">
        <f t="shared" si="44"/>
        <v>285</v>
      </c>
      <c r="O82" s="212">
        <f t="shared" si="44"/>
        <v>534.11</v>
      </c>
      <c r="P82" s="212">
        <f t="shared" si="44"/>
        <v>0</v>
      </c>
      <c r="Q82" s="212">
        <f t="shared" si="44"/>
        <v>30.178843500000006</v>
      </c>
      <c r="R82" s="269">
        <f t="shared" si="44"/>
        <v>2241.3257884999998</v>
      </c>
      <c r="S82" s="307">
        <f t="shared" si="44"/>
        <v>1423.0542115000001</v>
      </c>
      <c r="T82" s="212"/>
      <c r="U82" s="275">
        <f>+U81+U78+U75+U73+U71+U69+U67+U65</f>
        <v>2629</v>
      </c>
      <c r="V82">
        <f>+V81+V78+V75+V73+V71+V69+V67+V65</f>
        <v>2629</v>
      </c>
      <c r="W82">
        <v>170</v>
      </c>
    </row>
    <row r="83" spans="1:26" x14ac:dyDescent="0.25">
      <c r="A83" s="210"/>
      <c r="B83" s="210"/>
      <c r="C83" s="210"/>
      <c r="D83" s="210"/>
      <c r="E83" s="210"/>
      <c r="R83" s="268"/>
      <c r="S83" s="210"/>
    </row>
    <row r="84" spans="1:26" ht="13.8" x14ac:dyDescent="0.25">
      <c r="A84" s="407" t="s">
        <v>378</v>
      </c>
      <c r="B84" s="407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</row>
    <row r="85" spans="1:26" ht="13.8" x14ac:dyDescent="0.25">
      <c r="A85" s="259" t="s">
        <v>300</v>
      </c>
      <c r="B85" s="83" t="s">
        <v>237</v>
      </c>
      <c r="F85" s="332">
        <v>625</v>
      </c>
      <c r="G85" s="211">
        <v>625</v>
      </c>
      <c r="H85" s="211">
        <v>625</v>
      </c>
      <c r="I85" s="211">
        <v>650</v>
      </c>
      <c r="J85" s="211">
        <v>650</v>
      </c>
      <c r="K85" s="211">
        <v>650</v>
      </c>
      <c r="L85" s="211">
        <v>650</v>
      </c>
      <c r="M85" s="211">
        <v>650</v>
      </c>
      <c r="N85" s="211">
        <v>650</v>
      </c>
      <c r="O85" s="211">
        <v>650</v>
      </c>
      <c r="P85" s="211">
        <v>673</v>
      </c>
      <c r="Q85" s="332">
        <v>673</v>
      </c>
      <c r="R85" s="268">
        <f t="shared" ref="R85:R97" si="45">SUM(F85:Q85)</f>
        <v>7771</v>
      </c>
    </row>
    <row r="86" spans="1:26" ht="13.8" x14ac:dyDescent="0.25">
      <c r="A86" s="29"/>
      <c r="B86" s="230" t="s">
        <v>359</v>
      </c>
      <c r="C86" s="318">
        <f>+'BudgerandActual Spend 24-25'!I18</f>
        <v>7808</v>
      </c>
      <c r="D86" s="318">
        <f>+'Spend Jan-Mar25'!H47</f>
        <v>-625</v>
      </c>
      <c r="E86" s="318">
        <f>+D86+C86</f>
        <v>7183</v>
      </c>
      <c r="F86" s="231">
        <f t="shared" ref="F86:Q86" si="46">SUM(F85:F85)</f>
        <v>625</v>
      </c>
      <c r="G86" s="231">
        <f t="shared" si="46"/>
        <v>625</v>
      </c>
      <c r="H86" s="231">
        <f t="shared" si="46"/>
        <v>625</v>
      </c>
      <c r="I86" s="231">
        <f t="shared" si="46"/>
        <v>650</v>
      </c>
      <c r="J86" s="231">
        <f t="shared" si="46"/>
        <v>650</v>
      </c>
      <c r="K86" s="231">
        <f t="shared" si="46"/>
        <v>650</v>
      </c>
      <c r="L86" s="231">
        <f t="shared" si="46"/>
        <v>650</v>
      </c>
      <c r="M86" s="231">
        <f t="shared" si="46"/>
        <v>650</v>
      </c>
      <c r="N86" s="231">
        <f t="shared" si="46"/>
        <v>650</v>
      </c>
      <c r="O86" s="231">
        <f t="shared" si="46"/>
        <v>650</v>
      </c>
      <c r="P86" s="231">
        <f t="shared" si="46"/>
        <v>673</v>
      </c>
      <c r="Q86" s="247">
        <f t="shared" si="46"/>
        <v>673</v>
      </c>
      <c r="R86" s="314">
        <f t="shared" si="45"/>
        <v>7771</v>
      </c>
      <c r="S86" s="308">
        <f>+E86-R86</f>
        <v>-588</v>
      </c>
      <c r="T86" s="29"/>
      <c r="U86" s="292">
        <v>8523</v>
      </c>
      <c r="V86">
        <v>8523</v>
      </c>
    </row>
    <row r="87" spans="1:26" ht="13.8" x14ac:dyDescent="0.25">
      <c r="A87" s="259" t="s">
        <v>300</v>
      </c>
      <c r="B87" s="83" t="s">
        <v>134</v>
      </c>
      <c r="F87" s="332">
        <v>425.52</v>
      </c>
      <c r="J87" s="211">
        <v>300</v>
      </c>
      <c r="K87" s="211">
        <v>25</v>
      </c>
      <c r="R87" s="268">
        <f t="shared" si="45"/>
        <v>750.52</v>
      </c>
      <c r="T87" s="15"/>
    </row>
    <row r="88" spans="1:26" ht="13.8" x14ac:dyDescent="0.25">
      <c r="A88" s="259"/>
      <c r="B88" s="83" t="s">
        <v>385</v>
      </c>
      <c r="M88" s="211">
        <v>25</v>
      </c>
      <c r="R88" s="268">
        <f t="shared" si="45"/>
        <v>25</v>
      </c>
      <c r="T88" s="15"/>
    </row>
    <row r="89" spans="1:26" ht="13.8" x14ac:dyDescent="0.25">
      <c r="A89" s="29"/>
      <c r="B89" s="230" t="s">
        <v>362</v>
      </c>
      <c r="C89" s="318">
        <f>+'BudgerandActual Spend 24-25'!I19</f>
        <v>521</v>
      </c>
      <c r="D89" s="318">
        <f>+'Spend Jan-Mar25'!H50</f>
        <v>400</v>
      </c>
      <c r="E89" s="318">
        <f>+D89+C89</f>
        <v>921</v>
      </c>
      <c r="F89" s="231">
        <f t="shared" ref="F89:P89" si="47">SUM(F87:F88)</f>
        <v>425.52</v>
      </c>
      <c r="G89" s="231">
        <f t="shared" si="47"/>
        <v>0</v>
      </c>
      <c r="H89" s="231">
        <f t="shared" si="47"/>
        <v>0</v>
      </c>
      <c r="I89" s="231">
        <f t="shared" si="47"/>
        <v>0</v>
      </c>
      <c r="J89" s="231">
        <f t="shared" si="47"/>
        <v>300</v>
      </c>
      <c r="K89" s="231">
        <f t="shared" si="47"/>
        <v>25</v>
      </c>
      <c r="L89" s="231">
        <f t="shared" si="47"/>
        <v>0</v>
      </c>
      <c r="M89" s="231">
        <f t="shared" si="47"/>
        <v>25</v>
      </c>
      <c r="N89" s="231">
        <f t="shared" si="47"/>
        <v>0</v>
      </c>
      <c r="O89" s="231">
        <f t="shared" si="47"/>
        <v>0</v>
      </c>
      <c r="P89" s="231">
        <f t="shared" si="47"/>
        <v>0</v>
      </c>
      <c r="Q89" s="247">
        <f>SUM(Q87:Q88)</f>
        <v>0</v>
      </c>
      <c r="R89" s="314">
        <f t="shared" si="45"/>
        <v>775.52</v>
      </c>
      <c r="S89" s="308">
        <f>+E89-R89</f>
        <v>145.48000000000002</v>
      </c>
      <c r="T89" s="29"/>
      <c r="U89" s="285">
        <v>859</v>
      </c>
      <c r="V89">
        <v>859</v>
      </c>
    </row>
    <row r="90" spans="1:26" ht="13.8" x14ac:dyDescent="0.25">
      <c r="A90" s="259" t="s">
        <v>300</v>
      </c>
      <c r="B90" s="83" t="s">
        <v>386</v>
      </c>
      <c r="R90" s="268">
        <f t="shared" ref="R90:R91" si="48">SUM(F90:Q90)</f>
        <v>0</v>
      </c>
      <c r="S90" s="15"/>
    </row>
    <row r="91" spans="1:26" ht="13.8" x14ac:dyDescent="0.25">
      <c r="A91" s="272"/>
      <c r="B91" s="230" t="s">
        <v>363</v>
      </c>
      <c r="C91" s="318">
        <v>0</v>
      </c>
      <c r="D91" s="318">
        <v>0</v>
      </c>
      <c r="E91" s="318">
        <v>0</v>
      </c>
      <c r="F91" s="312">
        <f t="shared" ref="F91:Q91" si="49">SUM(F90)</f>
        <v>0</v>
      </c>
      <c r="G91" s="312">
        <f t="shared" si="49"/>
        <v>0</v>
      </c>
      <c r="H91" s="312">
        <f t="shared" si="49"/>
        <v>0</v>
      </c>
      <c r="I91" s="312">
        <f t="shared" si="49"/>
        <v>0</v>
      </c>
      <c r="J91" s="312">
        <f t="shared" si="49"/>
        <v>0</v>
      </c>
      <c r="K91" s="312">
        <f t="shared" si="49"/>
        <v>0</v>
      </c>
      <c r="L91" s="312">
        <f t="shared" si="49"/>
        <v>0</v>
      </c>
      <c r="M91" s="312">
        <f t="shared" si="49"/>
        <v>0</v>
      </c>
      <c r="N91" s="312">
        <f t="shared" si="49"/>
        <v>0</v>
      </c>
      <c r="O91" s="312">
        <f t="shared" si="49"/>
        <v>0</v>
      </c>
      <c r="P91" s="312">
        <f t="shared" si="49"/>
        <v>0</v>
      </c>
      <c r="Q91" s="313">
        <f t="shared" si="49"/>
        <v>0</v>
      </c>
      <c r="R91" s="314">
        <f t="shared" si="48"/>
        <v>0</v>
      </c>
      <c r="S91" s="308">
        <f>+E91-R91</f>
        <v>0</v>
      </c>
      <c r="T91" s="29">
        <f>IF(R91&gt;=0,R91,0)</f>
        <v>0</v>
      </c>
      <c r="U91" s="292">
        <v>2000</v>
      </c>
      <c r="V91">
        <v>2000</v>
      </c>
      <c r="X91" s="15" t="s">
        <v>315</v>
      </c>
    </row>
    <row r="92" spans="1:26" ht="13.8" x14ac:dyDescent="0.25">
      <c r="A92" s="257" t="s">
        <v>300</v>
      </c>
      <c r="B92" s="83" t="s">
        <v>22</v>
      </c>
      <c r="G92" s="211">
        <f>1008.22*2</f>
        <v>2016.44</v>
      </c>
      <c r="I92" s="211">
        <f>1337.93+1196.4</f>
        <v>2534.33</v>
      </c>
      <c r="J92" s="211">
        <v>944.81</v>
      </c>
      <c r="L92" s="211">
        <v>1196.4000000000001</v>
      </c>
      <c r="M92" s="211">
        <v>944.81</v>
      </c>
      <c r="Q92" s="277"/>
      <c r="R92" s="268">
        <f t="shared" si="45"/>
        <v>7636.7899999999991</v>
      </c>
      <c r="T92" s="15"/>
      <c r="Z92" s="348">
        <v>1000</v>
      </c>
    </row>
    <row r="93" spans="1:26" ht="13.8" x14ac:dyDescent="0.25">
      <c r="A93" s="296" t="s">
        <v>371</v>
      </c>
      <c r="B93" s="83" t="s">
        <v>317</v>
      </c>
      <c r="L93" s="287">
        <f>((SUM(F92:L92)*0.16671)*-1)-SUM(F93:K93)</f>
        <v>-1115.6199858</v>
      </c>
      <c r="Q93" s="287">
        <f>((SUM(R92)*0.16671)*-1)-SUM(F93:P93)</f>
        <v>-157.50927509999974</v>
      </c>
      <c r="R93" s="268">
        <f t="shared" ref="R93:R94" si="50">SUM(F93:Q93)</f>
        <v>-1273.1292608999997</v>
      </c>
      <c r="T93" s="15"/>
    </row>
    <row r="94" spans="1:26" ht="13.8" x14ac:dyDescent="0.25">
      <c r="A94" s="29"/>
      <c r="B94" s="230" t="s">
        <v>361</v>
      </c>
      <c r="C94" s="318">
        <f>+'BudgerandActual Spend 24-25'!I20</f>
        <v>7250</v>
      </c>
      <c r="D94" s="318">
        <f>+'Spend Jan-Mar25'!H53</f>
        <v>1803.42</v>
      </c>
      <c r="E94" s="318">
        <f>+D94+C94</f>
        <v>9053.42</v>
      </c>
      <c r="F94" s="231">
        <f t="shared" ref="F94:I94" si="51">SUM(F92:F93)</f>
        <v>0</v>
      </c>
      <c r="G94" s="231">
        <f t="shared" si="51"/>
        <v>2016.44</v>
      </c>
      <c r="H94" s="231">
        <f t="shared" si="51"/>
        <v>0</v>
      </c>
      <c r="I94" s="231">
        <f t="shared" si="51"/>
        <v>2534.33</v>
      </c>
      <c r="J94" s="231">
        <f>SUM(J92:J93)</f>
        <v>944.81</v>
      </c>
      <c r="K94" s="231">
        <f t="shared" ref="K94:P94" si="52">SUM(K92:K93)</f>
        <v>0</v>
      </c>
      <c r="L94" s="231">
        <f t="shared" si="52"/>
        <v>80.780014200000096</v>
      </c>
      <c r="M94" s="231">
        <f t="shared" si="52"/>
        <v>944.81</v>
      </c>
      <c r="N94" s="231">
        <f t="shared" si="52"/>
        <v>0</v>
      </c>
      <c r="O94" s="231">
        <f t="shared" si="52"/>
        <v>0</v>
      </c>
      <c r="P94" s="231">
        <f t="shared" si="52"/>
        <v>0</v>
      </c>
      <c r="Q94" s="247">
        <f>SUM(Q92:Q93)</f>
        <v>-157.50927509999974</v>
      </c>
      <c r="R94" s="314">
        <f t="shared" si="50"/>
        <v>6363.6607390999998</v>
      </c>
      <c r="S94" s="308">
        <f>+E94-R94</f>
        <v>2689.7592609000003</v>
      </c>
      <c r="T94" s="246"/>
      <c r="U94" s="285">
        <v>7485</v>
      </c>
      <c r="V94">
        <v>7485</v>
      </c>
    </row>
    <row r="95" spans="1:26" ht="13.8" x14ac:dyDescent="0.25">
      <c r="A95" s="259" t="s">
        <v>300</v>
      </c>
      <c r="B95" s="83" t="s">
        <v>427</v>
      </c>
      <c r="O95" s="211">
        <v>1562</v>
      </c>
      <c r="R95" s="268">
        <f t="shared" si="45"/>
        <v>1562</v>
      </c>
      <c r="T95" s="15"/>
    </row>
    <row r="96" spans="1:26" ht="13.8" x14ac:dyDescent="0.25">
      <c r="A96" s="29"/>
      <c r="B96" s="230" t="s">
        <v>360</v>
      </c>
      <c r="C96" s="320">
        <f>+'BudgerandActual Spend 24-25'!I21</f>
        <v>1562</v>
      </c>
      <c r="D96" s="319">
        <f>+'Spend Jan-Mar25'!H56</f>
        <v>0</v>
      </c>
      <c r="E96" s="318">
        <f>+D96+C96</f>
        <v>1562</v>
      </c>
      <c r="F96" s="231">
        <f t="shared" ref="F96:Q96" si="53">SUM(F95:F95)</f>
        <v>0</v>
      </c>
      <c r="G96" s="231">
        <f t="shared" si="53"/>
        <v>0</v>
      </c>
      <c r="H96" s="231">
        <f t="shared" si="53"/>
        <v>0</v>
      </c>
      <c r="I96" s="231">
        <f t="shared" si="53"/>
        <v>0</v>
      </c>
      <c r="J96" s="231">
        <f t="shared" si="53"/>
        <v>0</v>
      </c>
      <c r="K96" s="231">
        <f t="shared" si="53"/>
        <v>0</v>
      </c>
      <c r="L96" s="231">
        <f t="shared" si="53"/>
        <v>0</v>
      </c>
      <c r="M96" s="231">
        <f t="shared" si="53"/>
        <v>0</v>
      </c>
      <c r="N96" s="231">
        <f t="shared" si="53"/>
        <v>0</v>
      </c>
      <c r="O96" s="231">
        <f t="shared" si="53"/>
        <v>1562</v>
      </c>
      <c r="P96" s="231">
        <f t="shared" si="53"/>
        <v>0</v>
      </c>
      <c r="Q96" s="247">
        <f t="shared" si="53"/>
        <v>0</v>
      </c>
      <c r="R96" s="314">
        <f t="shared" si="45"/>
        <v>1562</v>
      </c>
      <c r="S96" s="308">
        <f>+E96-R96</f>
        <v>0</v>
      </c>
      <c r="T96" s="29"/>
      <c r="U96" s="285">
        <v>1624</v>
      </c>
      <c r="V96">
        <f>+ROUND(R96*Inflation_Rate,0)</f>
        <v>1624</v>
      </c>
    </row>
    <row r="97" spans="1:26" ht="13.8" x14ac:dyDescent="0.25">
      <c r="A97" s="257" t="s">
        <v>284</v>
      </c>
      <c r="B97" s="83" t="s">
        <v>260</v>
      </c>
      <c r="J97" s="211">
        <v>1324.8</v>
      </c>
      <c r="P97" s="253"/>
      <c r="R97" s="268">
        <f t="shared" si="45"/>
        <v>1324.8</v>
      </c>
      <c r="T97" s="15"/>
      <c r="V97" s="15"/>
    </row>
    <row r="98" spans="1:26" ht="13.8" x14ac:dyDescent="0.25">
      <c r="A98" s="296" t="s">
        <v>371</v>
      </c>
      <c r="B98" s="83" t="s">
        <v>317</v>
      </c>
      <c r="L98" s="287">
        <f>((SUM(F97:L97)*0.16671)*-1)-SUM(F98:K98)</f>
        <v>-220.85740799999999</v>
      </c>
      <c r="Q98" s="287">
        <f>((SUM(R97)*0.16671)*-1)-SUM(F98:P98)</f>
        <v>0</v>
      </c>
      <c r="R98" s="268">
        <f t="shared" ref="R98:R99" si="54">SUM(F98:Q98)</f>
        <v>-220.85740799999999</v>
      </c>
      <c r="T98" s="15"/>
    </row>
    <row r="99" spans="1:26" ht="13.8" x14ac:dyDescent="0.25">
      <c r="A99" s="246" t="s">
        <v>284</v>
      </c>
      <c r="B99" s="230" t="s">
        <v>364</v>
      </c>
      <c r="C99" s="320">
        <f>+'BudgerandActual Spend 24-25'!I33</f>
        <v>600</v>
      </c>
      <c r="D99" s="319">
        <f>+'Spend Jan-Mar25'!H93</f>
        <v>-302.39999999999998</v>
      </c>
      <c r="E99" s="318">
        <f>+D99+C99</f>
        <v>297.60000000000002</v>
      </c>
      <c r="F99" s="231">
        <f t="shared" ref="F99:I99" si="55">SUM(F97:F98)</f>
        <v>0</v>
      </c>
      <c r="G99" s="231">
        <f t="shared" si="55"/>
        <v>0</v>
      </c>
      <c r="H99" s="231">
        <f t="shared" si="55"/>
        <v>0</v>
      </c>
      <c r="I99" s="231">
        <f t="shared" si="55"/>
        <v>0</v>
      </c>
      <c r="J99" s="231">
        <f>SUM(J97:J98)</f>
        <v>1324.8</v>
      </c>
      <c r="K99" s="231">
        <f t="shared" ref="K99:P99" si="56">SUM(K97:K98)</f>
        <v>0</v>
      </c>
      <c r="L99" s="231">
        <f t="shared" si="56"/>
        <v>-220.85740799999999</v>
      </c>
      <c r="M99" s="231">
        <f t="shared" si="56"/>
        <v>0</v>
      </c>
      <c r="N99" s="231">
        <f t="shared" si="56"/>
        <v>0</v>
      </c>
      <c r="O99" s="231">
        <f t="shared" si="56"/>
        <v>0</v>
      </c>
      <c r="P99" s="231">
        <f t="shared" si="56"/>
        <v>0</v>
      </c>
      <c r="Q99" s="247">
        <f>SUM(Q97:Q98)</f>
        <v>0</v>
      </c>
      <c r="R99" s="314">
        <f t="shared" si="54"/>
        <v>1103.9425919999999</v>
      </c>
      <c r="S99" s="308">
        <f>+E99-R99</f>
        <v>-806.34259199999985</v>
      </c>
      <c r="T99" s="15" t="s">
        <v>297</v>
      </c>
      <c r="U99" s="285">
        <v>1148</v>
      </c>
      <c r="V99">
        <f>+ROUND(R99*Inflation_Rate,0)</f>
        <v>1148</v>
      </c>
    </row>
    <row r="100" spans="1:26" ht="13.8" x14ac:dyDescent="0.25">
      <c r="A100" s="113" t="s">
        <v>379</v>
      </c>
      <c r="B100" s="196"/>
      <c r="C100" s="324">
        <f t="shared" ref="C100:R100" si="57">+C99+C96+C94+C89+C86+C91</f>
        <v>17741</v>
      </c>
      <c r="D100" s="329">
        <f t="shared" si="57"/>
        <v>1276.02</v>
      </c>
      <c r="E100" s="329">
        <f t="shared" si="57"/>
        <v>19017.02</v>
      </c>
      <c r="F100" s="212">
        <f t="shared" si="57"/>
        <v>1050.52</v>
      </c>
      <c r="G100" s="212">
        <f t="shared" si="57"/>
        <v>2641.44</v>
      </c>
      <c r="H100" s="212">
        <f t="shared" si="57"/>
        <v>625</v>
      </c>
      <c r="I100" s="212">
        <f t="shared" si="57"/>
        <v>3184.33</v>
      </c>
      <c r="J100" s="212">
        <f t="shared" si="57"/>
        <v>3219.6099999999997</v>
      </c>
      <c r="K100" s="212">
        <f t="shared" si="57"/>
        <v>675</v>
      </c>
      <c r="L100" s="212">
        <f t="shared" si="57"/>
        <v>509.92260620000013</v>
      </c>
      <c r="M100" s="212">
        <f t="shared" si="57"/>
        <v>1619.81</v>
      </c>
      <c r="N100" s="212">
        <f t="shared" si="57"/>
        <v>650</v>
      </c>
      <c r="O100" s="212">
        <f t="shared" si="57"/>
        <v>2212</v>
      </c>
      <c r="P100" s="212">
        <f t="shared" si="57"/>
        <v>673</v>
      </c>
      <c r="Q100" s="311">
        <f t="shared" si="57"/>
        <v>515.49072490000026</v>
      </c>
      <c r="R100" s="269">
        <f t="shared" si="57"/>
        <v>17576.1233311</v>
      </c>
      <c r="S100" s="307">
        <f>+S99+S96+S94+S89+S86</f>
        <v>1440.8966689000003</v>
      </c>
      <c r="T100" s="114"/>
      <c r="U100" s="199">
        <f>SUM(U85:U99)</f>
        <v>21639</v>
      </c>
      <c r="V100">
        <f>SUM(V86:V99)</f>
        <v>21639</v>
      </c>
    </row>
    <row r="101" spans="1:26" x14ac:dyDescent="0.25">
      <c r="A101" s="210"/>
      <c r="B101" s="210"/>
      <c r="C101" s="210"/>
      <c r="D101" s="210"/>
      <c r="E101" s="210"/>
      <c r="R101" s="268"/>
      <c r="S101" s="210"/>
    </row>
    <row r="102" spans="1:26" ht="13.8" x14ac:dyDescent="0.25">
      <c r="A102" s="113" t="s">
        <v>175</v>
      </c>
      <c r="B102" s="114"/>
      <c r="C102" s="114"/>
      <c r="D102" s="114"/>
      <c r="E102" s="114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69"/>
      <c r="S102" s="212"/>
      <c r="T102" s="212"/>
      <c r="U102" s="269"/>
    </row>
    <row r="103" spans="1:26" ht="13.8" x14ac:dyDescent="0.25">
      <c r="A103" s="78"/>
      <c r="B103" s="121" t="s">
        <v>365</v>
      </c>
      <c r="C103" s="290"/>
      <c r="D103" s="290"/>
      <c r="E103" s="290"/>
      <c r="F103" s="291"/>
      <c r="G103" s="291"/>
      <c r="H103" s="291"/>
      <c r="I103" s="291"/>
      <c r="J103" s="291"/>
      <c r="K103" s="291"/>
      <c r="L103" s="291"/>
      <c r="M103" s="291"/>
      <c r="N103" s="291"/>
      <c r="O103" s="291"/>
      <c r="P103" s="291"/>
      <c r="Q103" s="253"/>
      <c r="R103" s="268">
        <f t="shared" ref="R103:R105" si="58">SUM(F103:Q103)</f>
        <v>0</v>
      </c>
      <c r="S103" s="78"/>
      <c r="T103" s="78"/>
      <c r="U103" s="293">
        <v>1000</v>
      </c>
      <c r="V103">
        <v>1000</v>
      </c>
    </row>
    <row r="104" spans="1:26" ht="13.8" x14ac:dyDescent="0.25">
      <c r="A104" s="261"/>
      <c r="B104" s="202" t="s">
        <v>428</v>
      </c>
      <c r="C104" s="290"/>
      <c r="D104" s="290"/>
      <c r="E104" s="290"/>
      <c r="F104" s="291"/>
      <c r="G104" s="291">
        <v>3250</v>
      </c>
      <c r="H104" s="291"/>
      <c r="I104" s="291"/>
      <c r="J104" s="291"/>
      <c r="K104" s="291"/>
      <c r="L104" s="291"/>
      <c r="M104" s="291"/>
      <c r="N104" s="291"/>
      <c r="O104" s="291"/>
      <c r="P104" s="291">
        <v>3500</v>
      </c>
      <c r="Q104" s="253"/>
      <c r="R104" s="268">
        <f t="shared" ref="R104" si="59">SUM(F104:Q104)</f>
        <v>6750</v>
      </c>
      <c r="S104" s="78"/>
      <c r="T104" s="78"/>
      <c r="U104" s="345">
        <v>3380</v>
      </c>
      <c r="V104" s="347">
        <v>3380</v>
      </c>
    </row>
    <row r="105" spans="1:26" ht="13.8" x14ac:dyDescent="0.25">
      <c r="A105" s="261"/>
      <c r="B105" s="202" t="s">
        <v>399</v>
      </c>
      <c r="C105" s="290"/>
      <c r="D105" s="290"/>
      <c r="E105" s="290"/>
      <c r="F105" s="291"/>
      <c r="G105" s="291"/>
      <c r="H105" s="291"/>
      <c r="I105" s="291"/>
      <c r="J105" s="291"/>
      <c r="K105" s="291"/>
      <c r="L105" s="291"/>
      <c r="M105" s="291"/>
      <c r="N105" s="291"/>
      <c r="O105" s="291">
        <v>65.94</v>
      </c>
      <c r="P105" s="291"/>
      <c r="Q105" s="253"/>
      <c r="R105" s="268">
        <f t="shared" si="58"/>
        <v>65.94</v>
      </c>
      <c r="S105" s="78"/>
      <c r="T105" s="78"/>
      <c r="U105" s="285">
        <v>69</v>
      </c>
      <c r="V105">
        <f>+ROUND(R105*Inflation_Rate,0)</f>
        <v>69</v>
      </c>
    </row>
    <row r="106" spans="1:26" ht="13.8" x14ac:dyDescent="0.25">
      <c r="A106" s="113" t="s">
        <v>309</v>
      </c>
      <c r="B106" s="193"/>
      <c r="C106" s="323">
        <v>4250</v>
      </c>
      <c r="D106" s="325">
        <f t="shared" ref="D106:Q106" si="60">SUM(D103:D105)</f>
        <v>0</v>
      </c>
      <c r="E106" s="323">
        <f>+D106+C106</f>
        <v>4250</v>
      </c>
      <c r="F106" s="219">
        <f t="shared" si="60"/>
        <v>0</v>
      </c>
      <c r="G106" s="219">
        <f t="shared" si="60"/>
        <v>3250</v>
      </c>
      <c r="H106" s="219">
        <f t="shared" si="60"/>
        <v>0</v>
      </c>
      <c r="I106" s="219">
        <f t="shared" si="60"/>
        <v>0</v>
      </c>
      <c r="J106" s="219">
        <f t="shared" si="60"/>
        <v>0</v>
      </c>
      <c r="K106" s="219">
        <f t="shared" si="60"/>
        <v>0</v>
      </c>
      <c r="L106" s="219">
        <f t="shared" si="60"/>
        <v>0</v>
      </c>
      <c r="M106" s="219">
        <f t="shared" si="60"/>
        <v>0</v>
      </c>
      <c r="N106" s="219">
        <f t="shared" si="60"/>
        <v>0</v>
      </c>
      <c r="O106" s="219">
        <f t="shared" si="60"/>
        <v>65.94</v>
      </c>
      <c r="P106" s="219">
        <f t="shared" si="60"/>
        <v>3500</v>
      </c>
      <c r="Q106" s="278">
        <f t="shared" si="60"/>
        <v>0</v>
      </c>
      <c r="R106" s="269">
        <f>SUM(F106:Q106)</f>
        <v>6815.9400000000005</v>
      </c>
      <c r="S106" s="114">
        <f>+E106-R106</f>
        <v>-2565.9400000000005</v>
      </c>
      <c r="T106" s="114"/>
      <c r="U106" s="199">
        <f>SUM(U103:U105)</f>
        <v>4449</v>
      </c>
      <c r="V106">
        <f>SUM(V103:V105)</f>
        <v>4449</v>
      </c>
    </row>
    <row r="107" spans="1:26" ht="5.4" customHeight="1" x14ac:dyDescent="0.25">
      <c r="A107" s="21"/>
      <c r="B107" s="21"/>
      <c r="C107" s="21"/>
      <c r="D107" s="21"/>
      <c r="E107" s="21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</row>
    <row r="108" spans="1:26" ht="13.8" x14ac:dyDescent="0.25">
      <c r="A108" s="113" t="s">
        <v>194</v>
      </c>
      <c r="B108" s="114"/>
      <c r="C108" s="114"/>
      <c r="D108" s="114"/>
      <c r="E108" s="114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69"/>
      <c r="S108" s="212"/>
      <c r="T108" s="212"/>
      <c r="U108" s="269"/>
    </row>
    <row r="109" spans="1:26" ht="13.8" x14ac:dyDescent="0.25">
      <c r="A109" s="262"/>
      <c r="B109" s="202" t="s">
        <v>367</v>
      </c>
      <c r="C109" s="226"/>
      <c r="D109" s="226"/>
      <c r="E109" s="226"/>
      <c r="F109" s="249"/>
      <c r="G109" s="249">
        <v>504</v>
      </c>
      <c r="H109" s="249"/>
      <c r="I109" s="249"/>
      <c r="J109" s="249"/>
      <c r="K109" s="249"/>
      <c r="L109" s="249"/>
      <c r="M109" s="249"/>
      <c r="N109" s="249"/>
      <c r="O109" s="249"/>
      <c r="P109" s="249"/>
      <c r="Q109" s="255"/>
      <c r="R109" s="268">
        <f t="shared" ref="R109:R112" si="61">SUM(F109:Q109)</f>
        <v>504</v>
      </c>
    </row>
    <row r="110" spans="1:26" ht="13.8" x14ac:dyDescent="0.25">
      <c r="A110" s="262"/>
      <c r="B110" s="202" t="s">
        <v>368</v>
      </c>
      <c r="C110" s="226"/>
      <c r="D110" s="226"/>
      <c r="E110" s="226"/>
      <c r="F110" s="249"/>
      <c r="G110" s="249">
        <v>420</v>
      </c>
      <c r="H110" s="249"/>
      <c r="I110" s="249"/>
      <c r="J110" s="249"/>
      <c r="K110" s="249"/>
      <c r="L110" s="249"/>
      <c r="M110" s="249"/>
      <c r="N110" s="249"/>
      <c r="O110" s="211"/>
      <c r="P110" s="249"/>
      <c r="Q110" s="255"/>
      <c r="R110" s="268">
        <f>SUM(F110:Q110)</f>
        <v>420</v>
      </c>
    </row>
    <row r="111" spans="1:26" ht="13.8" x14ac:dyDescent="0.25">
      <c r="A111" s="262"/>
      <c r="B111" s="202" t="s">
        <v>369</v>
      </c>
      <c r="C111" s="226"/>
      <c r="D111" s="226"/>
      <c r="E111" s="226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55"/>
      <c r="R111" s="268">
        <f t="shared" si="61"/>
        <v>0</v>
      </c>
    </row>
    <row r="112" spans="1:26" ht="13.8" x14ac:dyDescent="0.25">
      <c r="A112" s="262"/>
      <c r="B112" s="202" t="s">
        <v>419</v>
      </c>
      <c r="C112" s="226"/>
      <c r="D112" s="226"/>
      <c r="E112" s="226"/>
      <c r="F112" s="249"/>
      <c r="G112" s="249"/>
      <c r="H112" s="249"/>
      <c r="I112" s="249"/>
      <c r="J112" s="249"/>
      <c r="K112" s="249"/>
      <c r="L112" s="249"/>
      <c r="M112" s="249"/>
      <c r="N112" s="249"/>
      <c r="O112" s="249"/>
      <c r="P112" s="249"/>
      <c r="Q112" s="255"/>
      <c r="R112" s="268">
        <f t="shared" si="61"/>
        <v>0</v>
      </c>
      <c r="V112" s="12"/>
      <c r="Z112" s="349">
        <v>1235</v>
      </c>
    </row>
    <row r="113" spans="1:26" ht="13.8" x14ac:dyDescent="0.25">
      <c r="A113" s="295" t="s">
        <v>371</v>
      </c>
      <c r="B113" s="202" t="s">
        <v>370</v>
      </c>
      <c r="C113" s="250"/>
      <c r="D113" s="250"/>
      <c r="E113" s="250"/>
      <c r="F113" s="251"/>
      <c r="G113" s="251"/>
      <c r="H113" s="251"/>
      <c r="I113" s="251"/>
      <c r="J113" s="251"/>
      <c r="K113" s="231"/>
      <c r="L113" s="231"/>
      <c r="M113" s="231"/>
      <c r="N113" s="231"/>
      <c r="O113" s="231"/>
      <c r="P113" s="231"/>
      <c r="Q113" s="359">
        <f>((SUM(R109:R112)*0.166)*-1)-SUM(F113:P113)</f>
        <v>-153.38400000000001</v>
      </c>
      <c r="R113" s="274">
        <f t="shared" ref="R113" si="62">SUM(F113:Q113)</f>
        <v>-153.38400000000001</v>
      </c>
    </row>
    <row r="114" spans="1:26" ht="13.8" x14ac:dyDescent="0.25">
      <c r="A114" s="113" t="s">
        <v>310</v>
      </c>
      <c r="B114" s="196"/>
      <c r="C114" s="322">
        <f>+'BudgerandActual Spend 24-25'!I58</f>
        <v>3000</v>
      </c>
      <c r="D114" s="324">
        <f>SUM(D109:D111)</f>
        <v>0</v>
      </c>
      <c r="E114" s="323">
        <f>+D114+C114</f>
        <v>3000</v>
      </c>
      <c r="F114" s="212">
        <f>SUM(F109:F113)</f>
        <v>0</v>
      </c>
      <c r="G114" s="212">
        <f>SUM(G109:G113)</f>
        <v>924</v>
      </c>
      <c r="H114" s="212">
        <f t="shared" ref="H114:Q114" si="63">SUM(H109:H113)</f>
        <v>0</v>
      </c>
      <c r="I114" s="212">
        <f t="shared" si="63"/>
        <v>0</v>
      </c>
      <c r="J114" s="212">
        <f t="shared" si="63"/>
        <v>0</v>
      </c>
      <c r="K114" s="212">
        <f t="shared" si="63"/>
        <v>0</v>
      </c>
      <c r="L114" s="212">
        <f t="shared" si="63"/>
        <v>0</v>
      </c>
      <c r="M114" s="212">
        <f t="shared" si="63"/>
        <v>0</v>
      </c>
      <c r="N114" s="212">
        <f t="shared" si="63"/>
        <v>0</v>
      </c>
      <c r="O114" s="212">
        <f t="shared" si="63"/>
        <v>0</v>
      </c>
      <c r="P114" s="212">
        <f t="shared" si="63"/>
        <v>0</v>
      </c>
      <c r="Q114" s="247">
        <f t="shared" si="63"/>
        <v>-153.38400000000001</v>
      </c>
      <c r="R114" s="269">
        <f>SUM(F114:Q114)</f>
        <v>770.61599999999999</v>
      </c>
      <c r="S114" s="307">
        <f>+E114-R114</f>
        <v>2229.384</v>
      </c>
      <c r="T114" s="114"/>
      <c r="U114" s="294">
        <f>3000*Inflation_Rate</f>
        <v>3120</v>
      </c>
      <c r="V114">
        <v>3120</v>
      </c>
    </row>
    <row r="115" spans="1:26" ht="4.95" customHeight="1" x14ac:dyDescent="0.25"/>
    <row r="116" spans="1:26" ht="13.8" x14ac:dyDescent="0.25">
      <c r="A116" s="113" t="s">
        <v>353</v>
      </c>
      <c r="B116" s="114"/>
      <c r="C116" s="114"/>
      <c r="D116" s="114"/>
      <c r="E116" s="114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69"/>
      <c r="S116" s="212"/>
      <c r="T116" s="212"/>
      <c r="U116" s="269"/>
    </row>
    <row r="117" spans="1:26" ht="13.8" x14ac:dyDescent="0.25">
      <c r="A117" s="263"/>
      <c r="B117" s="204" t="s">
        <v>372</v>
      </c>
      <c r="C117" s="300"/>
      <c r="D117" s="300"/>
      <c r="E117" s="300"/>
      <c r="F117" s="301"/>
      <c r="G117" s="301">
        <v>200</v>
      </c>
      <c r="H117" s="301"/>
      <c r="I117" s="301"/>
      <c r="J117" s="301"/>
      <c r="K117" s="301"/>
      <c r="L117" s="301"/>
      <c r="M117" s="301"/>
      <c r="N117" s="301"/>
      <c r="O117" s="301"/>
      <c r="P117" s="301"/>
      <c r="Q117" s="276"/>
      <c r="R117" s="268">
        <f t="shared" ref="R117:R121" si="64">SUM(F117:Q117)</f>
        <v>200</v>
      </c>
    </row>
    <row r="118" spans="1:26" ht="13.8" x14ac:dyDescent="0.25">
      <c r="A118" s="264"/>
      <c r="B118" s="146" t="s">
        <v>390</v>
      </c>
      <c r="C118" s="226"/>
      <c r="D118" s="226"/>
      <c r="E118" s="226"/>
      <c r="F118" s="249"/>
      <c r="G118" s="249"/>
      <c r="H118" s="249"/>
      <c r="I118" s="249"/>
      <c r="J118" s="249"/>
      <c r="K118" s="249"/>
      <c r="L118" s="249"/>
      <c r="M118" s="249"/>
      <c r="N118" s="249"/>
      <c r="O118" s="211"/>
      <c r="P118" s="249"/>
      <c r="Q118" s="255"/>
      <c r="R118" s="268">
        <f>SUM(F118:Q118)</f>
        <v>0</v>
      </c>
      <c r="Z118" s="350">
        <v>400</v>
      </c>
    </row>
    <row r="119" spans="1:26" ht="13.8" x14ac:dyDescent="0.25">
      <c r="A119" s="264"/>
      <c r="B119" s="146" t="s">
        <v>373</v>
      </c>
      <c r="C119" s="226"/>
      <c r="D119" s="226"/>
      <c r="E119" s="226"/>
      <c r="F119" s="249"/>
      <c r="G119" s="249"/>
      <c r="H119" s="249"/>
      <c r="I119" s="249"/>
      <c r="J119" s="249"/>
      <c r="K119" s="249"/>
      <c r="L119" s="249"/>
      <c r="M119" s="211"/>
      <c r="N119" s="249">
        <v>78.75</v>
      </c>
      <c r="O119" s="211"/>
      <c r="P119" s="249"/>
      <c r="Q119" s="380">
        <v>240</v>
      </c>
      <c r="R119" s="268">
        <f t="shared" si="64"/>
        <v>318.75</v>
      </c>
      <c r="Z119" s="349">
        <v>170</v>
      </c>
    </row>
    <row r="120" spans="1:26" ht="13.8" x14ac:dyDescent="0.25">
      <c r="A120" s="263"/>
      <c r="B120" s="146" t="s">
        <v>374</v>
      </c>
      <c r="C120" s="226"/>
      <c r="D120" s="226"/>
      <c r="E120" s="226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55"/>
      <c r="R120" s="268">
        <f t="shared" si="64"/>
        <v>0</v>
      </c>
    </row>
    <row r="121" spans="1:26" ht="13.8" x14ac:dyDescent="0.25">
      <c r="A121" s="263"/>
      <c r="B121" s="146" t="s">
        <v>375</v>
      </c>
      <c r="C121" s="226"/>
      <c r="D121" s="226"/>
      <c r="E121" s="226"/>
      <c r="F121" s="249"/>
      <c r="G121" s="249"/>
      <c r="H121" s="249"/>
      <c r="I121" s="249"/>
      <c r="J121" s="249"/>
      <c r="K121" s="249"/>
      <c r="L121" s="249">
        <v>119.99</v>
      </c>
      <c r="M121" s="211"/>
      <c r="N121" s="249"/>
      <c r="O121" s="249"/>
      <c r="P121" s="249"/>
      <c r="Q121" s="255"/>
      <c r="R121" s="268">
        <f t="shared" si="64"/>
        <v>119.99</v>
      </c>
    </row>
    <row r="122" spans="1:26" ht="13.8" x14ac:dyDescent="0.25">
      <c r="A122" s="295" t="s">
        <v>371</v>
      </c>
      <c r="B122" s="83" t="s">
        <v>389</v>
      </c>
      <c r="C122" s="226"/>
      <c r="D122" s="226"/>
      <c r="E122" s="226"/>
      <c r="F122" s="249"/>
      <c r="G122" s="249"/>
      <c r="H122" s="249"/>
      <c r="I122" s="249"/>
      <c r="J122" s="249"/>
      <c r="K122" s="249"/>
      <c r="L122" s="249"/>
      <c r="M122" s="211"/>
      <c r="N122" s="211"/>
      <c r="O122" s="249"/>
      <c r="P122" s="249"/>
      <c r="Q122" s="288"/>
      <c r="R122" s="268">
        <f>SUM(F122:Q122)</f>
        <v>0</v>
      </c>
    </row>
    <row r="123" spans="1:26" ht="13.8" x14ac:dyDescent="0.25">
      <c r="A123" s="113" t="s">
        <v>311</v>
      </c>
      <c r="B123" s="114"/>
      <c r="C123" s="322">
        <f>+'BudgerandActual Spend 24-25'!I63</f>
        <v>3000</v>
      </c>
      <c r="D123" s="325">
        <f>SUM(D117:D121)</f>
        <v>0</v>
      </c>
      <c r="E123" s="325">
        <f>+D123+C123</f>
        <v>3000</v>
      </c>
      <c r="F123" s="219">
        <f t="shared" ref="F123:Q123" si="65">SUM(F117:F122)</f>
        <v>0</v>
      </c>
      <c r="G123" s="219">
        <f t="shared" si="65"/>
        <v>200</v>
      </c>
      <c r="H123" s="219">
        <f t="shared" si="65"/>
        <v>0</v>
      </c>
      <c r="I123" s="219">
        <f t="shared" si="65"/>
        <v>0</v>
      </c>
      <c r="J123" s="219">
        <f t="shared" si="65"/>
        <v>0</v>
      </c>
      <c r="K123" s="219">
        <f t="shared" si="65"/>
        <v>0</v>
      </c>
      <c r="L123" s="219">
        <f t="shared" si="65"/>
        <v>119.99</v>
      </c>
      <c r="M123" s="219">
        <f t="shared" si="65"/>
        <v>0</v>
      </c>
      <c r="N123" s="219">
        <f t="shared" si="65"/>
        <v>78.75</v>
      </c>
      <c r="O123" s="219">
        <f t="shared" si="65"/>
        <v>0</v>
      </c>
      <c r="P123" s="219">
        <f t="shared" si="65"/>
        <v>0</v>
      </c>
      <c r="Q123" s="278">
        <f t="shared" si="65"/>
        <v>240</v>
      </c>
      <c r="R123" s="269">
        <f>SUM(F123:Q123)</f>
        <v>638.74</v>
      </c>
      <c r="S123" s="307">
        <f>+E123-R123</f>
        <v>2361.2600000000002</v>
      </c>
      <c r="T123" s="114"/>
      <c r="U123" s="294">
        <v>2500</v>
      </c>
      <c r="V123">
        <v>2500</v>
      </c>
    </row>
    <row r="124" spans="1:26" ht="4.95" customHeight="1" x14ac:dyDescent="0.25"/>
    <row r="125" spans="1:26" ht="13.8" x14ac:dyDescent="0.25">
      <c r="A125" s="113" t="s">
        <v>197</v>
      </c>
      <c r="B125" s="114"/>
      <c r="C125" s="114"/>
      <c r="D125" s="114"/>
      <c r="E125" s="114"/>
      <c r="F125" s="212"/>
      <c r="G125" s="212"/>
      <c r="H125" s="212"/>
      <c r="I125" s="212"/>
      <c r="J125" s="212"/>
      <c r="K125" s="212"/>
      <c r="L125" s="212"/>
      <c r="M125" s="212"/>
      <c r="N125" s="212"/>
      <c r="O125" s="212"/>
      <c r="P125" s="212"/>
      <c r="Q125" s="212"/>
      <c r="R125" s="269"/>
      <c r="S125" s="212"/>
      <c r="T125" s="212"/>
      <c r="U125" s="269"/>
    </row>
    <row r="126" spans="1:26" ht="13.8" x14ac:dyDescent="0.25">
      <c r="A126" s="297"/>
      <c r="B126" s="202" t="s">
        <v>356</v>
      </c>
      <c r="C126" s="226"/>
      <c r="D126" s="226"/>
      <c r="E126" s="226"/>
      <c r="F126" s="249"/>
      <c r="G126" s="249"/>
      <c r="H126" s="249"/>
      <c r="I126" s="249"/>
      <c r="J126" s="249"/>
      <c r="K126" s="249"/>
      <c r="L126" s="288">
        <f>-5166.89-L93-L80-L77-L64-L55-L35-L21-L17-L98</f>
        <v>-5.1666973999998902</v>
      </c>
      <c r="M126" s="249"/>
      <c r="N126" s="249"/>
      <c r="O126" s="249"/>
      <c r="P126" s="249"/>
      <c r="Q126" s="255"/>
      <c r="R126" s="279">
        <f t="shared" ref="R126:R127" si="66">SUM(F126:Q126)</f>
        <v>-5.1666973999998902</v>
      </c>
      <c r="U126" s="299">
        <v>0</v>
      </c>
      <c r="V126">
        <v>0</v>
      </c>
    </row>
    <row r="127" spans="1:26" ht="13.8" x14ac:dyDescent="0.25">
      <c r="A127" s="146"/>
      <c r="B127" s="68"/>
      <c r="C127" s="250"/>
      <c r="D127" s="250"/>
      <c r="E127" s="250"/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  <c r="P127" s="251"/>
      <c r="Q127" s="256"/>
      <c r="R127" s="280">
        <f t="shared" si="66"/>
        <v>0</v>
      </c>
    </row>
    <row r="128" spans="1:26" ht="13.8" x14ac:dyDescent="0.25">
      <c r="A128" s="113" t="s">
        <v>312</v>
      </c>
      <c r="B128" s="114"/>
      <c r="C128" s="322">
        <f>+'BudgerandActual Spend 24-25'!I76</f>
        <v>10000</v>
      </c>
      <c r="D128" s="326">
        <f>SUM(D126:D127)</f>
        <v>0</v>
      </c>
      <c r="E128" s="323">
        <f>+D128+C128</f>
        <v>10000</v>
      </c>
      <c r="F128" s="223">
        <f t="shared" ref="F128:N128" si="67">SUM(F126:F127)</f>
        <v>0</v>
      </c>
      <c r="G128" s="223">
        <f t="shared" si="67"/>
        <v>0</v>
      </c>
      <c r="H128" s="223">
        <f t="shared" si="67"/>
        <v>0</v>
      </c>
      <c r="I128" s="223">
        <f t="shared" si="67"/>
        <v>0</v>
      </c>
      <c r="J128" s="223">
        <f t="shared" si="67"/>
        <v>0</v>
      </c>
      <c r="K128" s="223">
        <f t="shared" si="67"/>
        <v>0</v>
      </c>
      <c r="L128" s="223">
        <f t="shared" si="67"/>
        <v>-5.1666973999998902</v>
      </c>
      <c r="M128" s="223">
        <f t="shared" si="67"/>
        <v>0</v>
      </c>
      <c r="N128" s="223">
        <f t="shared" si="67"/>
        <v>0</v>
      </c>
      <c r="O128" s="223">
        <f t="shared" ref="O128:Q128" si="68">SUM(O126:O127)</f>
        <v>0</v>
      </c>
      <c r="P128" s="223">
        <f t="shared" si="68"/>
        <v>0</v>
      </c>
      <c r="Q128" s="223">
        <f t="shared" si="68"/>
        <v>0</v>
      </c>
      <c r="R128" s="269">
        <f>SUM(F128:Q128)</f>
        <v>-5.1666973999998902</v>
      </c>
      <c r="S128" s="307">
        <f>+E128-R128</f>
        <v>10005.1666974</v>
      </c>
      <c r="T128" s="114"/>
      <c r="U128" s="199">
        <v>10500</v>
      </c>
      <c r="V128">
        <v>10500</v>
      </c>
    </row>
    <row r="129" spans="1:23" ht="4.95" customHeight="1" x14ac:dyDescent="0.25"/>
    <row r="130" spans="1:23" ht="13.8" x14ac:dyDescent="0.25">
      <c r="A130" s="206" t="s">
        <v>323</v>
      </c>
      <c r="B130" s="203"/>
      <c r="C130" s="203"/>
      <c r="D130" s="203"/>
      <c r="E130" s="203"/>
      <c r="F130" s="220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70"/>
      <c r="S130" s="220"/>
      <c r="T130" s="220"/>
      <c r="U130" s="270"/>
    </row>
    <row r="131" spans="1:23" ht="13.8" x14ac:dyDescent="0.25">
      <c r="A131" s="302"/>
      <c r="B131" s="147" t="s">
        <v>354</v>
      </c>
      <c r="C131" s="226"/>
      <c r="D131" s="226"/>
      <c r="E131" s="226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55"/>
      <c r="R131" s="279">
        <f t="shared" ref="R131:R133" si="69">SUM(F131:Q131)</f>
        <v>0</v>
      </c>
      <c r="U131" s="299">
        <v>6000</v>
      </c>
      <c r="V131">
        <v>6000</v>
      </c>
    </row>
    <row r="132" spans="1:23" ht="13.8" x14ac:dyDescent="0.25">
      <c r="A132" s="302"/>
      <c r="B132" s="147" t="s">
        <v>392</v>
      </c>
      <c r="C132" s="226"/>
      <c r="D132" s="226"/>
      <c r="E132" s="226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55"/>
      <c r="R132" s="279">
        <f t="shared" si="69"/>
        <v>0</v>
      </c>
      <c r="U132" s="299">
        <v>500</v>
      </c>
      <c r="V132">
        <v>500</v>
      </c>
    </row>
    <row r="133" spans="1:23" ht="13.8" x14ac:dyDescent="0.25">
      <c r="A133" s="302"/>
      <c r="B133" s="147" t="s">
        <v>355</v>
      </c>
      <c r="C133" s="226"/>
      <c r="D133" s="226"/>
      <c r="E133" s="226"/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55"/>
      <c r="R133" s="268">
        <f t="shared" si="69"/>
        <v>0</v>
      </c>
      <c r="U133" s="299">
        <v>8250</v>
      </c>
      <c r="V133">
        <v>8250</v>
      </c>
    </row>
    <row r="134" spans="1:23" ht="13.8" x14ac:dyDescent="0.25">
      <c r="A134" s="266" t="s">
        <v>313</v>
      </c>
      <c r="B134" s="198"/>
      <c r="C134" s="322">
        <f>+'BudgerandActual Spend 24-25'!I80</f>
        <v>5000</v>
      </c>
      <c r="D134" s="324">
        <f t="shared" ref="D134" si="70">SUM(D133:D133)</f>
        <v>0</v>
      </c>
      <c r="E134" s="323">
        <f>+D134+C134</f>
        <v>5000</v>
      </c>
      <c r="F134" s="212">
        <f t="shared" ref="F134:I134" si="71">SUM(F131:F133)</f>
        <v>0</v>
      </c>
      <c r="G134" s="212">
        <f t="shared" si="71"/>
        <v>0</v>
      </c>
      <c r="H134" s="212">
        <f t="shared" si="71"/>
        <v>0</v>
      </c>
      <c r="I134" s="212">
        <f t="shared" si="71"/>
        <v>0</v>
      </c>
      <c r="J134" s="212">
        <f>SUM(J131:J133)</f>
        <v>0</v>
      </c>
      <c r="K134" s="212">
        <f t="shared" ref="K134:N134" si="72">SUM(K131:K133)</f>
        <v>0</v>
      </c>
      <c r="L134" s="212">
        <f t="shared" si="72"/>
        <v>0</v>
      </c>
      <c r="M134" s="212">
        <f t="shared" si="72"/>
        <v>0</v>
      </c>
      <c r="N134" s="212">
        <f t="shared" si="72"/>
        <v>0</v>
      </c>
      <c r="O134" s="212">
        <f t="shared" ref="O134:Q134" si="73">SUM(O131:O133)</f>
        <v>0</v>
      </c>
      <c r="P134" s="212">
        <f t="shared" si="73"/>
        <v>0</v>
      </c>
      <c r="Q134" s="212">
        <f t="shared" si="73"/>
        <v>0</v>
      </c>
      <c r="R134" s="269">
        <f>SUM(F134:Q134)</f>
        <v>0</v>
      </c>
      <c r="S134" s="307">
        <f>+E134-R134</f>
        <v>5000</v>
      </c>
      <c r="T134" s="114"/>
      <c r="U134" s="199">
        <f>SUM(U131:U133)</f>
        <v>14750</v>
      </c>
      <c r="V134">
        <f>SUM(V131:V133)</f>
        <v>14750</v>
      </c>
    </row>
    <row r="135" spans="1:23" ht="4.95" customHeight="1" x14ac:dyDescent="0.25">
      <c r="S135" s="12"/>
      <c r="T135" s="12"/>
      <c r="V135" s="12"/>
      <c r="W135" s="12"/>
    </row>
    <row r="136" spans="1:23" ht="13.8" x14ac:dyDescent="0.25">
      <c r="A136" s="113" t="s">
        <v>307</v>
      </c>
      <c r="B136" s="114"/>
      <c r="C136" s="114"/>
      <c r="D136" s="114"/>
      <c r="E136" s="114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12"/>
      <c r="Q136" s="212"/>
      <c r="R136" s="269"/>
      <c r="S136" s="212"/>
      <c r="T136" s="212"/>
      <c r="U136" s="269"/>
    </row>
    <row r="137" spans="1:23" ht="13.8" x14ac:dyDescent="0.25">
      <c r="A137" s="298"/>
      <c r="B137" s="147" t="s">
        <v>377</v>
      </c>
      <c r="C137" s="226"/>
      <c r="D137" s="226"/>
      <c r="E137" s="226">
        <v>0</v>
      </c>
      <c r="F137" s="249">
        <v>0</v>
      </c>
      <c r="G137" s="249">
        <v>0</v>
      </c>
      <c r="H137" s="249">
        <v>0</v>
      </c>
      <c r="I137" s="249">
        <v>0</v>
      </c>
      <c r="J137" s="249">
        <v>0</v>
      </c>
      <c r="K137" s="249"/>
      <c r="L137" s="249"/>
      <c r="M137" s="249"/>
      <c r="N137" s="249"/>
      <c r="O137" s="249"/>
      <c r="P137" s="249"/>
      <c r="Q137" s="255"/>
      <c r="R137" s="268">
        <f>SUM(F137:Q137)</f>
        <v>0</v>
      </c>
    </row>
    <row r="138" spans="1:23" ht="13.8" x14ac:dyDescent="0.25">
      <c r="A138" s="298"/>
      <c r="B138" s="147" t="s">
        <v>429</v>
      </c>
      <c r="C138" s="226"/>
      <c r="D138" s="226"/>
      <c r="E138" s="226"/>
      <c r="F138" s="249"/>
      <c r="G138" s="249"/>
      <c r="H138" s="249"/>
      <c r="I138" s="249"/>
      <c r="J138" s="249"/>
      <c r="K138" s="249"/>
      <c r="L138" s="249"/>
      <c r="M138" s="249"/>
      <c r="N138" s="249"/>
      <c r="O138" s="249"/>
      <c r="P138" s="249"/>
      <c r="Q138" s="255"/>
      <c r="R138" s="268">
        <f t="shared" ref="R138:R140" si="74">SUM(F138:Q138)</f>
        <v>0</v>
      </c>
    </row>
    <row r="139" spans="1:23" ht="13.8" x14ac:dyDescent="0.25">
      <c r="A139" s="298"/>
      <c r="B139" s="147" t="s">
        <v>431</v>
      </c>
      <c r="C139" s="226"/>
      <c r="D139" s="226"/>
      <c r="E139" s="226"/>
      <c r="F139" s="249"/>
      <c r="G139" s="249"/>
      <c r="H139" s="249"/>
      <c r="I139" s="249"/>
      <c r="J139" s="249"/>
      <c r="K139" s="249"/>
      <c r="L139" s="249"/>
      <c r="M139" s="249"/>
      <c r="N139" s="249"/>
      <c r="O139" s="249"/>
      <c r="P139" s="249">
        <f>SUM(O79:P79)/1.2*-1</f>
        <v>-20.091666666666669</v>
      </c>
      <c r="Q139" s="255"/>
      <c r="R139" s="268">
        <f t="shared" si="74"/>
        <v>-20.091666666666669</v>
      </c>
    </row>
    <row r="140" spans="1:23" ht="13.8" x14ac:dyDescent="0.25">
      <c r="A140" s="209"/>
      <c r="B140" s="305" t="s">
        <v>471</v>
      </c>
      <c r="C140" s="226"/>
      <c r="D140" s="226"/>
      <c r="E140" s="226"/>
      <c r="F140" s="249"/>
      <c r="G140" s="249"/>
      <c r="H140" s="249"/>
      <c r="I140" s="249"/>
      <c r="J140" s="249">
        <v>38.71</v>
      </c>
      <c r="K140" s="249"/>
      <c r="L140" s="249"/>
      <c r="M140" s="249"/>
      <c r="N140" s="249"/>
      <c r="O140" s="249"/>
      <c r="P140" s="249"/>
      <c r="Q140" s="255"/>
      <c r="R140" s="268">
        <f t="shared" si="74"/>
        <v>38.71</v>
      </c>
    </row>
    <row r="141" spans="1:23" ht="13.8" x14ac:dyDescent="0.25">
      <c r="A141" s="266" t="s">
        <v>314</v>
      </c>
      <c r="B141" s="198"/>
      <c r="C141" s="322">
        <v>0</v>
      </c>
      <c r="D141" s="322">
        <v>-5511</v>
      </c>
      <c r="E141" s="323">
        <f>+D141+C141</f>
        <v>-5511</v>
      </c>
      <c r="F141" s="212">
        <f t="shared" ref="F141:N141" si="75">SUM(F137:F140)</f>
        <v>0</v>
      </c>
      <c r="G141" s="212">
        <f t="shared" si="75"/>
        <v>0</v>
      </c>
      <c r="H141" s="212">
        <f t="shared" si="75"/>
        <v>0</v>
      </c>
      <c r="I141" s="212">
        <f t="shared" si="75"/>
        <v>0</v>
      </c>
      <c r="J141" s="212">
        <f t="shared" si="75"/>
        <v>38.71</v>
      </c>
      <c r="K141" s="212">
        <f t="shared" si="75"/>
        <v>0</v>
      </c>
      <c r="L141" s="212">
        <f t="shared" si="75"/>
        <v>0</v>
      </c>
      <c r="M141" s="212">
        <f t="shared" si="75"/>
        <v>0</v>
      </c>
      <c r="N141" s="212">
        <f t="shared" si="75"/>
        <v>0</v>
      </c>
      <c r="O141" s="212">
        <f t="shared" ref="O141:Q141" si="76">SUM(O137:O140)</f>
        <v>0</v>
      </c>
      <c r="P141" s="212">
        <f t="shared" si="76"/>
        <v>-20.091666666666669</v>
      </c>
      <c r="Q141" s="212">
        <f t="shared" si="76"/>
        <v>0</v>
      </c>
      <c r="R141" s="269">
        <f>SUM(F141:Q141)</f>
        <v>18.618333333333332</v>
      </c>
      <c r="S141" s="114">
        <f>+E141-R141</f>
        <v>-5529.6183333333329</v>
      </c>
      <c r="T141" s="114"/>
      <c r="U141" s="199">
        <v>100</v>
      </c>
      <c r="V141">
        <f>+U141</f>
        <v>100</v>
      </c>
    </row>
    <row r="142" spans="1:23" ht="3.6" customHeight="1" x14ac:dyDescent="0.25"/>
    <row r="143" spans="1:23" x14ac:dyDescent="0.25">
      <c r="A143" s="15" t="s">
        <v>244</v>
      </c>
      <c r="C143" s="327">
        <f t="shared" ref="C143:S143" si="77">+C134+C128+C123+C114+C106+C100+C82+C60-C141</f>
        <v>81360.2</v>
      </c>
      <c r="D143" s="327">
        <f t="shared" si="77"/>
        <v>7336.1</v>
      </c>
      <c r="E143" s="327">
        <f t="shared" si="77"/>
        <v>88696.3</v>
      </c>
      <c r="F143" s="252">
        <f t="shared" si="77"/>
        <v>2547.81</v>
      </c>
      <c r="G143" s="252">
        <f t="shared" si="77"/>
        <v>15595.7</v>
      </c>
      <c r="H143" s="211">
        <f t="shared" si="77"/>
        <v>1386.1599999999999</v>
      </c>
      <c r="I143" s="252">
        <f t="shared" si="77"/>
        <v>19307.739999999998</v>
      </c>
      <c r="J143" s="252">
        <f t="shared" si="77"/>
        <v>6320.87</v>
      </c>
      <c r="K143" s="252">
        <f t="shared" si="77"/>
        <v>1588.58</v>
      </c>
      <c r="L143" s="252">
        <f t="shared" si="77"/>
        <v>-1611.5845600000002</v>
      </c>
      <c r="M143" s="252">
        <f t="shared" si="77"/>
        <v>2624.31</v>
      </c>
      <c r="N143" s="252">
        <f t="shared" si="77"/>
        <v>2477.6999999999998</v>
      </c>
      <c r="O143" s="252">
        <f t="shared" si="77"/>
        <v>4407.99</v>
      </c>
      <c r="P143" s="252">
        <f t="shared" si="77"/>
        <v>5047.1816666666664</v>
      </c>
      <c r="Q143" s="265">
        <f t="shared" si="77"/>
        <v>1474.8482440000002</v>
      </c>
      <c r="R143" s="315">
        <f t="shared" si="77"/>
        <v>61167.305350666669</v>
      </c>
      <c r="S143" s="283">
        <f t="shared" si="77"/>
        <v>27528.994649333326</v>
      </c>
      <c r="T143" s="15"/>
      <c r="U143" s="271">
        <f>+U134+U128+U123+U114+U106+U100+U82+U60-U141</f>
        <v>90787</v>
      </c>
      <c r="V143" s="283">
        <f>+V134+V128+V123+V114+V106+V100+V82+V60-V141</f>
        <v>90787</v>
      </c>
    </row>
    <row r="144" spans="1:23" x14ac:dyDescent="0.25">
      <c r="S144" s="210"/>
      <c r="U144" s="12">
        <v>90787</v>
      </c>
    </row>
    <row r="145" spans="1:23" x14ac:dyDescent="0.25">
      <c r="A145" t="s">
        <v>380</v>
      </c>
      <c r="F145" s="334">
        <v>26688.51</v>
      </c>
      <c r="L145" s="334">
        <v>27380</v>
      </c>
      <c r="U145" s="271">
        <f>+U144-U143</f>
        <v>0</v>
      </c>
    </row>
    <row r="146" spans="1:23" ht="16.2" customHeight="1" x14ac:dyDescent="0.25">
      <c r="A146" s="15" t="s">
        <v>387</v>
      </c>
      <c r="C146" s="243"/>
      <c r="D146" s="243"/>
      <c r="E146" s="243">
        <v>34627.199999999997</v>
      </c>
      <c r="F146" s="252">
        <v>58767.9</v>
      </c>
      <c r="G146" s="252">
        <v>43172.2</v>
      </c>
      <c r="H146" s="252">
        <v>41786.04</v>
      </c>
      <c r="I146" s="252">
        <v>22478.3</v>
      </c>
      <c r="J146" s="252">
        <v>16157.43</v>
      </c>
      <c r="K146" s="252">
        <v>14568.85</v>
      </c>
      <c r="L146" s="252">
        <v>43504.42</v>
      </c>
      <c r="M146" s="252">
        <v>40880.11</v>
      </c>
      <c r="N146" s="252">
        <f>+M146-N143</f>
        <v>38402.410000000003</v>
      </c>
      <c r="O146" s="252">
        <f>+N146-O143</f>
        <v>33994.420000000006</v>
      </c>
      <c r="P146" s="252">
        <f>+O146-P143</f>
        <v>28947.238333333338</v>
      </c>
      <c r="Q146" s="243">
        <f>+P146-Q143</f>
        <v>27472.390089333338</v>
      </c>
      <c r="R146" s="271"/>
      <c r="S146" s="243"/>
    </row>
    <row r="147" spans="1:23" ht="16.2" hidden="1" customHeight="1" outlineLevel="1" x14ac:dyDescent="0.25">
      <c r="A147" s="15" t="s">
        <v>395</v>
      </c>
      <c r="C147" s="243"/>
      <c r="D147" s="243"/>
      <c r="E147" s="243">
        <f>+E146+F145+L145</f>
        <v>88695.709999999992</v>
      </c>
      <c r="F147" s="243"/>
      <c r="G147" s="243"/>
      <c r="H147" s="243"/>
      <c r="I147" s="243"/>
      <c r="J147" s="243"/>
      <c r="K147" s="243"/>
      <c r="L147" s="243"/>
      <c r="R147" s="271"/>
      <c r="S147" s="243"/>
    </row>
    <row r="148" spans="1:23" ht="16.2" hidden="1" customHeight="1" outlineLevel="1" x14ac:dyDescent="0.25">
      <c r="B148" s="15"/>
      <c r="E148">
        <f>83185-88696</f>
        <v>-5511</v>
      </c>
      <c r="L148" s="243"/>
      <c r="M148" s="243"/>
    </row>
    <row r="149" spans="1:23" ht="16.2" hidden="1" customHeight="1" collapsed="1" x14ac:dyDescent="0.25">
      <c r="A149" s="15" t="s">
        <v>388</v>
      </c>
      <c r="B149" s="15"/>
      <c r="F149" s="252">
        <f>+E146-F146+F145</f>
        <v>2547.809999999994</v>
      </c>
      <c r="G149" s="252">
        <f t="shared" ref="G149:N149" si="78">+F146-G146</f>
        <v>15595.700000000004</v>
      </c>
      <c r="H149" s="211">
        <f t="shared" si="78"/>
        <v>1386.1599999999962</v>
      </c>
      <c r="I149" s="252">
        <f t="shared" si="78"/>
        <v>19307.740000000002</v>
      </c>
      <c r="J149" s="252">
        <f t="shared" si="78"/>
        <v>6320.869999999999</v>
      </c>
      <c r="K149" s="252">
        <f t="shared" si="78"/>
        <v>1588.58</v>
      </c>
      <c r="L149" s="252">
        <f t="shared" si="78"/>
        <v>-28935.57</v>
      </c>
      <c r="M149" s="252">
        <f t="shared" si="78"/>
        <v>2624.3099999999977</v>
      </c>
      <c r="N149" s="252">
        <f t="shared" si="78"/>
        <v>2477.6999999999971</v>
      </c>
    </row>
    <row r="150" spans="1:23" ht="16.2" customHeight="1" x14ac:dyDescent="0.25">
      <c r="A150" s="15"/>
      <c r="B150" s="15"/>
      <c r="R150" s="335" t="s">
        <v>410</v>
      </c>
      <c r="S150" s="336" t="s">
        <v>411</v>
      </c>
    </row>
    <row r="151" spans="1:23" x14ac:dyDescent="0.25">
      <c r="A151" s="15"/>
      <c r="B151" s="15"/>
      <c r="E151" s="338" t="s">
        <v>412</v>
      </c>
      <c r="F151" s="243">
        <v>20000</v>
      </c>
      <c r="G151" s="243">
        <v>35000</v>
      </c>
      <c r="H151" s="243">
        <v>35000</v>
      </c>
      <c r="I151" s="243">
        <v>15000</v>
      </c>
      <c r="J151" s="243">
        <v>11000</v>
      </c>
      <c r="K151" s="243">
        <v>11000</v>
      </c>
      <c r="L151" s="243">
        <v>11000</v>
      </c>
      <c r="M151" s="243">
        <v>35000</v>
      </c>
      <c r="N151" s="243">
        <v>35000</v>
      </c>
      <c r="O151" s="243">
        <v>30000</v>
      </c>
      <c r="P151" s="243">
        <v>28000</v>
      </c>
      <c r="Q151" s="243">
        <v>25000</v>
      </c>
      <c r="R151" s="271">
        <f>AVERAGE(F151:Q151)</f>
        <v>24250</v>
      </c>
      <c r="S151" s="243">
        <f>+R151*2.75%</f>
        <v>666.875</v>
      </c>
    </row>
    <row r="152" spans="1:23" x14ac:dyDescent="0.25">
      <c r="A152" s="15"/>
      <c r="B152" s="15"/>
      <c r="E152" s="336" t="s">
        <v>413</v>
      </c>
      <c r="F152" s="243">
        <f>+F146-F151</f>
        <v>38767.9</v>
      </c>
      <c r="G152" s="243">
        <f t="shared" ref="G152:Q152" si="79">+G146-G151</f>
        <v>8172.1999999999971</v>
      </c>
      <c r="H152" s="243">
        <f t="shared" si="79"/>
        <v>6786.0400000000009</v>
      </c>
      <c r="I152" s="243">
        <f t="shared" si="79"/>
        <v>7478.2999999999993</v>
      </c>
      <c r="J152" s="243">
        <f t="shared" si="79"/>
        <v>5157.43</v>
      </c>
      <c r="K152" s="243">
        <f t="shared" si="79"/>
        <v>3568.8500000000004</v>
      </c>
      <c r="L152" s="243">
        <f t="shared" si="79"/>
        <v>32504.42</v>
      </c>
      <c r="M152" s="243">
        <f t="shared" si="79"/>
        <v>5880.1100000000006</v>
      </c>
      <c r="N152" s="243">
        <f t="shared" si="79"/>
        <v>3402.4100000000035</v>
      </c>
      <c r="O152" s="243">
        <f t="shared" si="79"/>
        <v>3994.4200000000055</v>
      </c>
      <c r="P152" s="243">
        <f t="shared" si="79"/>
        <v>947.23833333333823</v>
      </c>
      <c r="Q152" s="243">
        <f t="shared" si="79"/>
        <v>2472.3900893333375</v>
      </c>
      <c r="R152" s="271">
        <f>AVERAGE(F152:Q152)</f>
        <v>9927.6423685555583</v>
      </c>
      <c r="S152">
        <v>0</v>
      </c>
    </row>
    <row r="153" spans="1:23" x14ac:dyDescent="0.25">
      <c r="A153" s="15"/>
      <c r="B153" s="15"/>
    </row>
    <row r="154" spans="1:23" x14ac:dyDescent="0.25">
      <c r="A154" s="15"/>
      <c r="B154" s="15"/>
      <c r="O154" s="210">
        <v>33994.42</v>
      </c>
      <c r="P154" s="340"/>
    </row>
    <row r="155" spans="1:23" x14ac:dyDescent="0.25">
      <c r="A155" s="15"/>
      <c r="B155" s="15"/>
      <c r="U155" s="77"/>
      <c r="V155" s="77"/>
      <c r="W155" s="77"/>
    </row>
    <row r="156" spans="1:23" x14ac:dyDescent="0.25">
      <c r="A156" s="15"/>
      <c r="B156" s="15"/>
      <c r="F156" s="243"/>
      <c r="U156" s="77"/>
      <c r="V156" s="77"/>
      <c r="W156" s="77"/>
    </row>
    <row r="157" spans="1:23" s="49" customFormat="1" ht="15.6" x14ac:dyDescent="0.25">
      <c r="A157" s="282" t="s">
        <v>183</v>
      </c>
      <c r="B157" s="62"/>
      <c r="C157" s="61"/>
      <c r="D157" s="61"/>
      <c r="E157" s="61"/>
      <c r="N157" s="61"/>
      <c r="O157" s="61"/>
      <c r="P157" s="61"/>
      <c r="Q157" s="61"/>
      <c r="R157" s="63"/>
      <c r="S157" s="64"/>
      <c r="U157" s="77"/>
      <c r="V157" s="77"/>
      <c r="W157" s="77"/>
    </row>
    <row r="158" spans="1:23" s="77" customFormat="1" ht="13.8" x14ac:dyDescent="0.25">
      <c r="A158" s="155"/>
      <c r="B158" s="156"/>
      <c r="C158" s="157"/>
      <c r="D158" s="157"/>
      <c r="E158" s="281" t="s">
        <v>234</v>
      </c>
      <c r="N158" s="157"/>
      <c r="O158" s="158" t="s">
        <v>170</v>
      </c>
      <c r="P158" s="158"/>
      <c r="Q158" s="158" t="s">
        <v>122</v>
      </c>
      <c r="R158" s="157"/>
      <c r="S158" s="159"/>
    </row>
    <row r="159" spans="1:23" s="77" customFormat="1" ht="13.8" x14ac:dyDescent="0.25">
      <c r="A159" s="160" t="s">
        <v>169</v>
      </c>
      <c r="B159" s="161"/>
      <c r="C159" s="162"/>
      <c r="D159" s="162"/>
      <c r="E159" s="162"/>
      <c r="N159" s="162"/>
      <c r="O159" s="163">
        <v>49835.08</v>
      </c>
      <c r="P159" s="164"/>
      <c r="Q159" s="164">
        <v>61.72</v>
      </c>
      <c r="R159" s="162"/>
      <c r="S159" s="165"/>
    </row>
    <row r="160" spans="1:23" s="77" customFormat="1" ht="13.8" x14ac:dyDescent="0.25">
      <c r="A160" s="166"/>
      <c r="B160" s="161"/>
      <c r="C160" s="162"/>
      <c r="D160" s="162"/>
      <c r="E160" s="162"/>
      <c r="N160" s="162"/>
      <c r="O160" s="167"/>
      <c r="P160" s="162"/>
      <c r="Q160" s="162"/>
      <c r="R160" s="162"/>
      <c r="S160" s="167"/>
    </row>
    <row r="161" spans="1:26" s="77" customFormat="1" ht="13.8" x14ac:dyDescent="0.25">
      <c r="A161" s="160" t="s">
        <v>320</v>
      </c>
      <c r="B161" s="161"/>
      <c r="C161" s="162"/>
      <c r="D161" s="162"/>
      <c r="E161" s="162">
        <v>81812</v>
      </c>
      <c r="N161" s="162"/>
      <c r="O161" s="186">
        <v>54760</v>
      </c>
      <c r="P161" s="164"/>
      <c r="Q161" s="173">
        <v>68.05</v>
      </c>
      <c r="R161" s="162"/>
      <c r="S161" s="167"/>
    </row>
    <row r="162" spans="1:26" s="77" customFormat="1" ht="13.8" x14ac:dyDescent="0.25">
      <c r="A162" s="160"/>
      <c r="B162" s="161"/>
      <c r="C162" s="162"/>
      <c r="D162" s="162"/>
      <c r="E162" s="162"/>
      <c r="N162" s="162"/>
      <c r="O162" s="167"/>
      <c r="P162" s="162"/>
      <c r="Q162" s="162"/>
      <c r="R162" s="162"/>
      <c r="S162" s="167"/>
    </row>
    <row r="163" spans="1:26" s="77" customFormat="1" ht="13.8" x14ac:dyDescent="0.25">
      <c r="A163" s="160" t="s">
        <v>321</v>
      </c>
      <c r="B163" s="162"/>
      <c r="C163" s="168"/>
      <c r="D163" s="162"/>
      <c r="E163" s="162"/>
      <c r="N163" s="162"/>
      <c r="O163" s="169" t="s">
        <v>126</v>
      </c>
      <c r="P163" s="170"/>
      <c r="Q163" s="170" t="s">
        <v>127</v>
      </c>
      <c r="R163" s="162"/>
      <c r="S163" s="167"/>
    </row>
    <row r="164" spans="1:26" s="77" customFormat="1" x14ac:dyDescent="0.25">
      <c r="A164" s="171" t="s">
        <v>108</v>
      </c>
      <c r="B164" s="162"/>
      <c r="C164" s="162"/>
      <c r="D164" s="162"/>
      <c r="E164" s="162"/>
      <c r="N164" s="162"/>
      <c r="O164" s="172">
        <f>+U143</f>
        <v>90787</v>
      </c>
      <c r="P164" s="162"/>
      <c r="Q164" s="162"/>
      <c r="R164" s="162"/>
      <c r="S164" s="167"/>
      <c r="V164" s="346">
        <f>+V143</f>
        <v>90787</v>
      </c>
    </row>
    <row r="165" spans="1:26" s="77" customFormat="1" x14ac:dyDescent="0.25">
      <c r="A165" s="171" t="s">
        <v>322</v>
      </c>
      <c r="B165" s="162"/>
      <c r="C165" s="162"/>
      <c r="D165" s="162"/>
      <c r="E165" s="162"/>
      <c r="N165" s="162"/>
      <c r="O165" s="172">
        <f>+S143</f>
        <v>27528.994649333326</v>
      </c>
      <c r="P165" s="162"/>
      <c r="Q165" s="162"/>
      <c r="R165" s="162"/>
      <c r="S165" s="167"/>
      <c r="V165" s="346">
        <f>+S143</f>
        <v>27528.994649333326</v>
      </c>
    </row>
    <row r="166" spans="1:26" s="77" customFormat="1" x14ac:dyDescent="0.25">
      <c r="A166" s="171" t="s">
        <v>407</v>
      </c>
      <c r="B166" s="162"/>
      <c r="C166" s="162"/>
      <c r="D166" s="162"/>
      <c r="E166" s="162"/>
      <c r="N166" s="162"/>
      <c r="O166" s="163">
        <f>+O164-O165</f>
        <v>63258.005350666674</v>
      </c>
      <c r="P166" s="164"/>
      <c r="Q166" s="173">
        <f>+Q161/O161*O166</f>
        <v>78.610432142309477</v>
      </c>
      <c r="R166" s="162"/>
      <c r="S166" s="167"/>
      <c r="V166" s="93">
        <f>+V164-V165</f>
        <v>63258.005350666674</v>
      </c>
      <c r="X166" s="178">
        <f>+Q161/O161*V166</f>
        <v>78.610432142309477</v>
      </c>
    </row>
    <row r="167" spans="1:26" s="77" customFormat="1" x14ac:dyDescent="0.25">
      <c r="A167" s="171" t="s">
        <v>25</v>
      </c>
      <c r="B167" s="162"/>
      <c r="C167" s="162"/>
      <c r="D167" s="162"/>
      <c r="E167" s="162"/>
      <c r="N167" s="162"/>
      <c r="O167" s="167"/>
      <c r="P167" s="162"/>
      <c r="Q167" s="168"/>
      <c r="R167" s="162"/>
      <c r="S167" s="167"/>
    </row>
    <row r="168" spans="1:26" s="77" customFormat="1" x14ac:dyDescent="0.25">
      <c r="A168" s="171"/>
      <c r="B168" s="162"/>
      <c r="C168" s="162"/>
      <c r="D168" s="162"/>
      <c r="E168" s="162"/>
      <c r="N168" s="162"/>
      <c r="O168" s="169" t="s">
        <v>126</v>
      </c>
      <c r="P168" s="170"/>
      <c r="Q168" s="170" t="s">
        <v>127</v>
      </c>
      <c r="R168" s="170"/>
      <c r="S168" s="169" t="s">
        <v>172</v>
      </c>
    </row>
    <row r="169" spans="1:26" s="77" customFormat="1" x14ac:dyDescent="0.25">
      <c r="A169" s="171" t="s">
        <v>409</v>
      </c>
      <c r="B169" s="162"/>
      <c r="C169" s="162"/>
      <c r="D169" s="162"/>
      <c r="E169" s="162"/>
      <c r="N169" s="162"/>
      <c r="O169" s="163">
        <f>+O166-O161</f>
        <v>8498.0053506666736</v>
      </c>
      <c r="P169" s="164"/>
      <c r="Q169" s="173">
        <f>+Q166-Q161</f>
        <v>10.56043214230948</v>
      </c>
      <c r="R169" s="162"/>
      <c r="S169" s="174">
        <f>+Q169/Q161%</f>
        <v>15.518636505965437</v>
      </c>
      <c r="V169" s="93">
        <f>+V166-O161</f>
        <v>8498.0053506666736</v>
      </c>
      <c r="X169" s="178">
        <f>+X166-Q161</f>
        <v>10.56043214230948</v>
      </c>
      <c r="Z169" s="178">
        <f>+X169/Q161%</f>
        <v>15.518636505965437</v>
      </c>
    </row>
    <row r="170" spans="1:26" s="77" customFormat="1" ht="7.8" hidden="1" customHeight="1" x14ac:dyDescent="0.25">
      <c r="A170" s="175" t="s">
        <v>167</v>
      </c>
      <c r="S170" s="93"/>
    </row>
    <row r="171" spans="1:26" s="77" customFormat="1" ht="13.8" hidden="1" x14ac:dyDescent="0.25">
      <c r="A171" s="176" t="s">
        <v>168</v>
      </c>
      <c r="B171" s="150"/>
      <c r="O171" s="78" t="s">
        <v>126</v>
      </c>
      <c r="Q171" s="78" t="s">
        <v>122</v>
      </c>
      <c r="S171" s="93"/>
    </row>
    <row r="172" spans="1:26" s="77" customFormat="1" ht="13.8" hidden="1" x14ac:dyDescent="0.25">
      <c r="A172" s="177" t="s">
        <v>65</v>
      </c>
      <c r="B172" s="150"/>
      <c r="O172" s="178">
        <v>49835.08</v>
      </c>
      <c r="Q172" s="77">
        <v>61.72</v>
      </c>
      <c r="S172" s="93"/>
    </row>
    <row r="173" spans="1:26" s="77" customFormat="1" ht="13.8" hidden="1" x14ac:dyDescent="0.25">
      <c r="A173" s="177" t="s">
        <v>66</v>
      </c>
      <c r="B173" s="150"/>
      <c r="O173" s="178">
        <v>515.83000000000004</v>
      </c>
      <c r="S173" s="93"/>
    </row>
    <row r="174" spans="1:26" s="77" customFormat="1" ht="13.8" hidden="1" x14ac:dyDescent="0.25">
      <c r="A174" s="177" t="s">
        <v>68</v>
      </c>
      <c r="O174" s="178">
        <v>340</v>
      </c>
      <c r="S174" s="93"/>
    </row>
    <row r="175" spans="1:26" s="77" customFormat="1" ht="7.2" hidden="1" customHeight="1" x14ac:dyDescent="0.25">
      <c r="A175" s="177" t="s">
        <v>67</v>
      </c>
      <c r="O175" s="179">
        <v>38.71</v>
      </c>
      <c r="S175" s="93"/>
    </row>
    <row r="176" spans="1:26" s="77" customFormat="1" ht="12" hidden="1" customHeight="1" x14ac:dyDescent="0.25">
      <c r="A176" s="180"/>
      <c r="O176" s="178">
        <f>SUM(O172:O175)</f>
        <v>50729.62</v>
      </c>
      <c r="S176" s="93"/>
    </row>
    <row r="177" spans="1:25" s="77" customFormat="1" x14ac:dyDescent="0.25">
      <c r="A177" s="181" t="s">
        <v>415</v>
      </c>
      <c r="B177" s="182"/>
      <c r="C177" s="182"/>
      <c r="D177" s="182"/>
      <c r="E177" s="182"/>
      <c r="N177" s="182"/>
      <c r="O177" s="341">
        <v>62275</v>
      </c>
      <c r="P177" s="182"/>
      <c r="Q177" s="182"/>
      <c r="R177" s="182"/>
      <c r="S177" s="183"/>
      <c r="V177" s="77">
        <v>62275</v>
      </c>
    </row>
    <row r="178" spans="1:25" ht="13.8" x14ac:dyDescent="0.25">
      <c r="A178" s="177" t="s">
        <v>404</v>
      </c>
      <c r="C178">
        <f>+E161</f>
        <v>81812</v>
      </c>
      <c r="D178" s="284">
        <f>+O164</f>
        <v>90787</v>
      </c>
      <c r="E178" s="284">
        <f>+D178-C178</f>
        <v>8975</v>
      </c>
    </row>
    <row r="179" spans="1:25" x14ac:dyDescent="0.25">
      <c r="A179" s="15" t="s">
        <v>405</v>
      </c>
      <c r="D179" s="284"/>
    </row>
    <row r="180" spans="1:25" s="210" customFormat="1" x14ac:dyDescent="0.25">
      <c r="A180" t="s">
        <v>406</v>
      </c>
      <c r="B180"/>
      <c r="R180" s="12"/>
      <c r="S180"/>
      <c r="T180"/>
      <c r="U180" s="12"/>
      <c r="V180"/>
      <c r="W180"/>
      <c r="X180"/>
      <c r="Y180"/>
    </row>
    <row r="182" spans="1:25" s="210" customFormat="1" x14ac:dyDescent="0.25">
      <c r="A182" t="s">
        <v>414</v>
      </c>
      <c r="B182"/>
      <c r="C182"/>
      <c r="D182"/>
      <c r="E182"/>
      <c r="R182" s="12"/>
      <c r="S182"/>
      <c r="T182"/>
      <c r="U182" s="12"/>
      <c r="V182"/>
      <c r="W182"/>
      <c r="X182"/>
      <c r="Y182"/>
    </row>
    <row r="187" spans="1:25" x14ac:dyDescent="0.25">
      <c r="F187" s="210" t="s">
        <v>393</v>
      </c>
    </row>
    <row r="188" spans="1:25" x14ac:dyDescent="0.25">
      <c r="F188" s="210" t="s">
        <v>394</v>
      </c>
    </row>
    <row r="189" spans="1:25" x14ac:dyDescent="0.25">
      <c r="F189" s="210">
        <f>27380-26688.51</f>
        <v>691.4900000000016</v>
      </c>
    </row>
  </sheetData>
  <mergeCells count="2">
    <mergeCell ref="A62:B62"/>
    <mergeCell ref="A84:B84"/>
  </mergeCells>
  <conditionalFormatting sqref="Q53">
    <cfRule type="cellIs" dxfId="6" priority="2" operator="lessThan">
      <formula>0</formula>
    </cfRule>
  </conditionalFormatting>
  <conditionalFormatting sqref="S2 S4:S59 S61 S63:S81 A79:Q79 A80:K80 M80:P80 A81:E81 A83:S83 A85:S89 B90:R91 A91 A92:S92 A93:J94 S93:S94 A95:S96 A97:O97 Q97:S97 A98:J99 S98:S99 A101:S101 S109:S113 S115:U115 S117:U122 S124:U124 S126:U127 S129:U129 S137:S140 S142 S144:S1048576">
    <cfRule type="cellIs" dxfId="5" priority="7" operator="lessThan">
      <formula>0</formula>
    </cfRule>
  </conditionalFormatting>
  <conditionalFormatting sqref="S91">
    <cfRule type="cellIs" dxfId="4" priority="4" operator="lessThan">
      <formula>0</formula>
    </cfRule>
  </conditionalFormatting>
  <conditionalFormatting sqref="S103:U103 S104:T105 S107:U107">
    <cfRule type="cellIs" dxfId="3" priority="6" operator="lessThan">
      <formula>0</formula>
    </cfRule>
  </conditionalFormatting>
  <conditionalFormatting sqref="S131:U133">
    <cfRule type="cellIs" dxfId="2" priority="3" operator="lessThan">
      <formula>0</formula>
    </cfRule>
  </conditionalFormatting>
  <conditionalFormatting sqref="T90:T91">
    <cfRule type="cellIs" dxfId="1" priority="5" operator="equal">
      <formula>0</formula>
    </cfRule>
  </conditionalFormatting>
  <conditionalFormatting sqref="Z92">
    <cfRule type="cellIs" dxfId="0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4" orientation="landscape" r:id="rId1"/>
  <headerFooter>
    <oddFooter>Page &amp;P of &amp;N</oddFooter>
  </headerFooter>
  <rowBreaks count="1" manualBreakCount="1">
    <brk id="144" max="16383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1C8A-0902-4F4F-AE45-DD4CF3DED8E0}">
  <dimension ref="A1:I21"/>
  <sheetViews>
    <sheetView workbookViewId="0">
      <selection activeCell="I21" sqref="I21"/>
    </sheetView>
  </sheetViews>
  <sheetFormatPr defaultRowHeight="13.2" x14ac:dyDescent="0.25"/>
  <sheetData>
    <row r="1" spans="1:1" x14ac:dyDescent="0.25">
      <c r="A1" t="s">
        <v>408</v>
      </c>
    </row>
    <row r="19" spans="9:9" x14ac:dyDescent="0.25">
      <c r="I19">
        <v>90787</v>
      </c>
    </row>
    <row r="20" spans="9:9" x14ac:dyDescent="0.25">
      <c r="I20">
        <v>28512</v>
      </c>
    </row>
    <row r="21" spans="9:9" x14ac:dyDescent="0.25">
      <c r="I21">
        <f>+I19-I20</f>
        <v>62275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26-27 budget and Spend</vt:lpstr>
      <vt:lpstr>Comparable Precepts</vt:lpstr>
      <vt:lpstr>Forecast Spend 24-25</vt:lpstr>
      <vt:lpstr>BudgerandActual Spend 24-25</vt:lpstr>
      <vt:lpstr>Spend Jan-Mar25</vt:lpstr>
      <vt:lpstr>Budget2527forNov25MtgEmailed</vt:lpstr>
      <vt:lpstr>Budget2527forNov25Mtg</vt:lpstr>
      <vt:lpstr>25-26 Spend 26-27 budget</vt:lpstr>
      <vt:lpstr>Precept for 26-27</vt:lpstr>
      <vt:lpstr>B</vt:lpstr>
      <vt:lpstr>Spend to End Nov</vt:lpstr>
      <vt:lpstr>Anticipated spend to End Year</vt:lpstr>
      <vt:lpstr>Notes</vt:lpstr>
      <vt:lpstr>'25-26 Spend 26-27 budget'!Inflation_Rate</vt:lpstr>
      <vt:lpstr>'26-27 budget and Spend'!Inflation_Rate</vt:lpstr>
      <vt:lpstr>Budget2527forNov25Mtg!Inflation_Rate</vt:lpstr>
      <vt:lpstr>Inflation_Rate</vt:lpstr>
      <vt:lpstr>inflation2728budget</vt:lpstr>
      <vt:lpstr>'25-26 Spend 26-27 budget'!Print_Titles</vt:lpstr>
      <vt:lpstr>'26-27 budget and Spend'!Print_Titles</vt:lpstr>
      <vt:lpstr>'BudgerandActual Spend 24-25'!Print_Titles</vt:lpstr>
      <vt:lpstr>Budget2527forNov25Mtg!Print_Titles</vt:lpstr>
      <vt:lpstr>Budget2527forNov25MtgEmailed!Print_Titles</vt:lpstr>
      <vt:lpstr>'Forecast Spend 24-25'!Print_Titles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Woodland</dc:creator>
  <cp:lastModifiedBy>Sheila Woodland</cp:lastModifiedBy>
  <cp:lastPrinted>2026-07-05T17:37:39Z</cp:lastPrinted>
  <dcterms:created xsi:type="dcterms:W3CDTF">2014-01-14T20:01:44Z</dcterms:created>
  <dcterms:modified xsi:type="dcterms:W3CDTF">2026-07-05T17:38:31Z</dcterms:modified>
</cp:coreProperties>
</file>