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vertonparishcouncil-my.sharepoint.com/personal/clerk_silvertonparishcouncil_org_uk/Documents/SPC Shared Documents/December 25/"/>
    </mc:Choice>
  </mc:AlternateContent>
  <xr:revisionPtr revIDLastSave="0" documentId="8_{03AB52F6-3BE0-4FCB-8E67-835A6237163A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Comparable Precepts" sheetId="8" r:id="rId1"/>
    <sheet name="Forecast Spend 24-25" sheetId="6" state="hidden" r:id="rId2"/>
    <sheet name="BudgerandActual Spend 24-25" sheetId="9" state="hidden" r:id="rId3"/>
    <sheet name="Spend Jan-Mar25" sheetId="11" state="hidden" r:id="rId4"/>
    <sheet name="Budget2527forNov25Mtg" sheetId="10" r:id="rId5"/>
    <sheet name="Spend to End Nov" sheetId="1" state="hidden" r:id="rId6"/>
    <sheet name="Anticipated spend to End Year" sheetId="4" state="hidden" r:id="rId7"/>
    <sheet name="Notes" sheetId="7" state="hidden" r:id="rId8"/>
  </sheets>
  <definedNames>
    <definedName name="Inflation_Rate">Budget2527forNov25Mtg!$W$2</definedName>
    <definedName name="_xlnm.Print_Titles" localSheetId="2">'BudgerandActual Spend 24-25'!$A:$A,'BudgerandActual Spend 24-25'!$1:$2</definedName>
    <definedName name="_xlnm.Print_Titles" localSheetId="4">Budget2527forNov25Mtg!$2:$2</definedName>
    <definedName name="_xlnm.Print_Titles" localSheetId="1">'Forecast Spend 24-25'!$A:$A,'Forecast Spend 24-25'!$1:$2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0" l="1"/>
  <c r="H83" i="10"/>
  <c r="I83" i="10"/>
  <c r="J83" i="10"/>
  <c r="K83" i="10"/>
  <c r="L83" i="10"/>
  <c r="M83" i="10"/>
  <c r="N83" i="10"/>
  <c r="O83" i="10"/>
  <c r="P83" i="10"/>
  <c r="Q83" i="10"/>
  <c r="F83" i="10"/>
  <c r="R127" i="10"/>
  <c r="R128" i="10"/>
  <c r="P81" i="10"/>
  <c r="O81" i="10"/>
  <c r="N81" i="10"/>
  <c r="M81" i="10"/>
  <c r="L81" i="10"/>
  <c r="K81" i="10"/>
  <c r="J81" i="10"/>
  <c r="I81" i="10"/>
  <c r="H81" i="10"/>
  <c r="G81" i="10"/>
  <c r="F81" i="10"/>
  <c r="Q81" i="10"/>
  <c r="R80" i="10"/>
  <c r="K137" i="10" l="1"/>
  <c r="L137" i="10"/>
  <c r="U104" i="10" l="1"/>
  <c r="L90" i="10"/>
  <c r="L91" i="10" s="1"/>
  <c r="L15" i="10"/>
  <c r="L16" i="10" s="1"/>
  <c r="G137" i="10"/>
  <c r="L11" i="10"/>
  <c r="H137" i="10"/>
  <c r="I10" i="10"/>
  <c r="R10" i="10" s="1"/>
  <c r="I137" i="10"/>
  <c r="N123" i="10"/>
  <c r="O123" i="10"/>
  <c r="P123" i="10"/>
  <c r="Q123" i="10"/>
  <c r="F123" i="10"/>
  <c r="G123" i="10"/>
  <c r="H123" i="10"/>
  <c r="I123" i="10"/>
  <c r="K123" i="10"/>
  <c r="L123" i="10"/>
  <c r="M123" i="10"/>
  <c r="J123" i="10"/>
  <c r="F113" i="10"/>
  <c r="G113" i="10"/>
  <c r="H113" i="10"/>
  <c r="I113" i="10"/>
  <c r="J113" i="10"/>
  <c r="K113" i="10"/>
  <c r="L113" i="10"/>
  <c r="M113" i="10"/>
  <c r="O113" i="10"/>
  <c r="P113" i="10"/>
  <c r="Q113" i="10"/>
  <c r="J137" i="10"/>
  <c r="G37" i="10"/>
  <c r="H37" i="10"/>
  <c r="I37" i="10"/>
  <c r="J37" i="10"/>
  <c r="K37" i="10"/>
  <c r="L37" i="10"/>
  <c r="M37" i="10"/>
  <c r="N37" i="10"/>
  <c r="O37" i="10"/>
  <c r="P37" i="10"/>
  <c r="Q37" i="10"/>
  <c r="F37" i="10"/>
  <c r="R36" i="10"/>
  <c r="K4" i="10"/>
  <c r="K5" i="10"/>
  <c r="L5" i="10"/>
  <c r="M5" i="10" s="1"/>
  <c r="C159" i="10"/>
  <c r="D113" i="10"/>
  <c r="M104" i="10"/>
  <c r="M97" i="10"/>
  <c r="O86" i="10"/>
  <c r="M11" i="10"/>
  <c r="N11" i="10"/>
  <c r="O11" i="10"/>
  <c r="P11" i="10"/>
  <c r="Q11" i="10"/>
  <c r="K11" i="10"/>
  <c r="H11" i="10"/>
  <c r="I11" i="10"/>
  <c r="J11" i="10"/>
  <c r="F11" i="10"/>
  <c r="G11" i="10"/>
  <c r="Q112" i="10"/>
  <c r="R112" i="10" s="1"/>
  <c r="U43" i="10"/>
  <c r="L97" i="10"/>
  <c r="L104" i="10"/>
  <c r="L72" i="10"/>
  <c r="L73" i="10" s="1"/>
  <c r="L69" i="10"/>
  <c r="L70" i="10" s="1"/>
  <c r="L56" i="10"/>
  <c r="L57" i="10" s="1"/>
  <c r="L47" i="10"/>
  <c r="L48" i="10"/>
  <c r="L31" i="10"/>
  <c r="U123" i="10"/>
  <c r="R121" i="10"/>
  <c r="L19" i="10"/>
  <c r="L20" i="10"/>
  <c r="M20" i="10"/>
  <c r="L27" i="10"/>
  <c r="K25" i="10"/>
  <c r="L25" i="10"/>
  <c r="R14" i="10"/>
  <c r="L7" i="10"/>
  <c r="H16" i="10"/>
  <c r="K104" i="10"/>
  <c r="K97" i="10"/>
  <c r="L51" i="10"/>
  <c r="M51" i="10"/>
  <c r="N51" i="10"/>
  <c r="O51" i="10"/>
  <c r="P51" i="10"/>
  <c r="Q51" i="10"/>
  <c r="K51" i="10"/>
  <c r="G51" i="10"/>
  <c r="H51" i="10"/>
  <c r="J51" i="10"/>
  <c r="I51" i="10"/>
  <c r="R50" i="10"/>
  <c r="L157" i="10"/>
  <c r="N104" i="10"/>
  <c r="O104" i="10"/>
  <c r="P104" i="10"/>
  <c r="F104" i="10"/>
  <c r="H104" i="10"/>
  <c r="I104" i="10"/>
  <c r="J104" i="10"/>
  <c r="G104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D39" i="10"/>
  <c r="E39" i="10" s="1"/>
  <c r="R38" i="10"/>
  <c r="C16" i="10"/>
  <c r="D16" i="10"/>
  <c r="C20" i="10"/>
  <c r="D20" i="10"/>
  <c r="R102" i="10"/>
  <c r="F91" i="10"/>
  <c r="G91" i="10"/>
  <c r="H91" i="10"/>
  <c r="I91" i="10"/>
  <c r="J91" i="10"/>
  <c r="P91" i="10"/>
  <c r="O91" i="10"/>
  <c r="N91" i="10"/>
  <c r="M91" i="10"/>
  <c r="K91" i="10"/>
  <c r="F86" i="10"/>
  <c r="H86" i="10"/>
  <c r="J86" i="10"/>
  <c r="P86" i="10"/>
  <c r="N86" i="10"/>
  <c r="M86" i="10"/>
  <c r="K86" i="10"/>
  <c r="R71" i="10"/>
  <c r="N73" i="10"/>
  <c r="K73" i="10"/>
  <c r="J73" i="10"/>
  <c r="I73" i="10"/>
  <c r="H73" i="10"/>
  <c r="G73" i="10"/>
  <c r="F73" i="10"/>
  <c r="P70" i="10"/>
  <c r="O70" i="10"/>
  <c r="N70" i="10"/>
  <c r="M70" i="10"/>
  <c r="K70" i="10"/>
  <c r="J70" i="10"/>
  <c r="I70" i="10"/>
  <c r="H70" i="10"/>
  <c r="G70" i="10"/>
  <c r="F70" i="10"/>
  <c r="J57" i="10"/>
  <c r="I57" i="10"/>
  <c r="H57" i="10"/>
  <c r="G57" i="10"/>
  <c r="F57" i="10"/>
  <c r="K57" i="10"/>
  <c r="M57" i="10"/>
  <c r="N57" i="10"/>
  <c r="O57" i="10"/>
  <c r="P57" i="10"/>
  <c r="F48" i="10"/>
  <c r="G48" i="10"/>
  <c r="H48" i="10"/>
  <c r="I48" i="10"/>
  <c r="J48" i="10"/>
  <c r="K48" i="10"/>
  <c r="M48" i="10"/>
  <c r="N48" i="10"/>
  <c r="O48" i="10"/>
  <c r="P48" i="10"/>
  <c r="F16" i="10"/>
  <c r="G16" i="10"/>
  <c r="I16" i="10"/>
  <c r="J16" i="10"/>
  <c r="K16" i="10"/>
  <c r="M16" i="10"/>
  <c r="N16" i="10"/>
  <c r="O16" i="10"/>
  <c r="P16" i="10"/>
  <c r="R83" i="10"/>
  <c r="S83" i="10" s="1"/>
  <c r="R82" i="10"/>
  <c r="R126" i="10"/>
  <c r="G108" i="9"/>
  <c r="R12" i="10"/>
  <c r="C25" i="10"/>
  <c r="R110" i="10"/>
  <c r="D123" i="10"/>
  <c r="D118" i="10"/>
  <c r="D104" i="10"/>
  <c r="D97" i="10"/>
  <c r="Q97" i="10"/>
  <c r="P97" i="10"/>
  <c r="O97" i="10"/>
  <c r="N97" i="10"/>
  <c r="J97" i="10"/>
  <c r="I97" i="10"/>
  <c r="H97" i="10"/>
  <c r="G97" i="10"/>
  <c r="F97" i="10"/>
  <c r="R96" i="10"/>
  <c r="U96" i="10" s="1"/>
  <c r="R95" i="10"/>
  <c r="R123" i="10" l="1"/>
  <c r="R97" i="10"/>
  <c r="N113" i="10"/>
  <c r="R113" i="10" s="1"/>
  <c r="U97" i="10"/>
  <c r="Q72" i="10"/>
  <c r="R72" i="10" s="1"/>
  <c r="R39" i="10"/>
  <c r="S39" i="10" s="1"/>
  <c r="E16" i="10"/>
  <c r="T83" i="10"/>
  <c r="E97" i="10"/>
  <c r="R122" i="10"/>
  <c r="R117" i="10"/>
  <c r="R111" i="10"/>
  <c r="R109" i="10"/>
  <c r="R108" i="10"/>
  <c r="R107" i="10"/>
  <c r="R101" i="10"/>
  <c r="R100" i="10"/>
  <c r="R49" i="10"/>
  <c r="R89" i="10"/>
  <c r="Q90" i="10" s="1"/>
  <c r="Q91" i="10" s="1"/>
  <c r="R91" i="10" s="1"/>
  <c r="U91" i="10" s="1"/>
  <c r="R45" i="10"/>
  <c r="R46" i="10"/>
  <c r="R44" i="10"/>
  <c r="R68" i="10"/>
  <c r="Q69" i="10" s="1"/>
  <c r="R66" i="10"/>
  <c r="R42" i="10"/>
  <c r="R64" i="10"/>
  <c r="R62" i="10"/>
  <c r="R60" i="10"/>
  <c r="R58" i="10"/>
  <c r="R55" i="10"/>
  <c r="Q56" i="10" s="1"/>
  <c r="R40" i="10"/>
  <c r="R87" i="10"/>
  <c r="R79" i="10"/>
  <c r="R77" i="10"/>
  <c r="R35" i="10"/>
  <c r="R37" i="10" s="1"/>
  <c r="R33" i="10"/>
  <c r="R30" i="10"/>
  <c r="Q31" i="10" s="1"/>
  <c r="R31" i="10" s="1"/>
  <c r="R28" i="10"/>
  <c r="R26" i="10"/>
  <c r="R22" i="10"/>
  <c r="R24" i="10"/>
  <c r="R23" i="10"/>
  <c r="R21" i="10"/>
  <c r="R18" i="10"/>
  <c r="R17" i="10"/>
  <c r="R13" i="10"/>
  <c r="R9" i="10"/>
  <c r="G111" i="11"/>
  <c r="G117" i="11"/>
  <c r="G124" i="11"/>
  <c r="G130" i="11"/>
  <c r="G136" i="11"/>
  <c r="G147" i="11"/>
  <c r="G151" i="11"/>
  <c r="H151" i="11" s="1"/>
  <c r="F151" i="11"/>
  <c r="E151" i="11"/>
  <c r="D151" i="11"/>
  <c r="M7" i="10"/>
  <c r="N7" i="10"/>
  <c r="O7" i="10"/>
  <c r="P7" i="10"/>
  <c r="Q7" i="10"/>
  <c r="C59" i="10"/>
  <c r="C57" i="10"/>
  <c r="E129" i="10"/>
  <c r="F14" i="11"/>
  <c r="F17" i="11" s="1"/>
  <c r="E14" i="11"/>
  <c r="E17" i="11" s="1"/>
  <c r="E7" i="11"/>
  <c r="F7" i="11"/>
  <c r="E10" i="11"/>
  <c r="F10" i="11"/>
  <c r="E13" i="11"/>
  <c r="F13" i="11"/>
  <c r="E20" i="11"/>
  <c r="F20" i="11"/>
  <c r="E23" i="11"/>
  <c r="F23" i="11"/>
  <c r="E26" i="11"/>
  <c r="F26" i="11"/>
  <c r="E29" i="11"/>
  <c r="F29" i="11"/>
  <c r="E32" i="11"/>
  <c r="F32" i="11"/>
  <c r="E35" i="11"/>
  <c r="F35" i="11"/>
  <c r="E38" i="11"/>
  <c r="F38" i="11"/>
  <c r="E41" i="11"/>
  <c r="F41" i="11"/>
  <c r="E44" i="11"/>
  <c r="F44" i="11"/>
  <c r="E47" i="11"/>
  <c r="F47" i="11"/>
  <c r="E50" i="11"/>
  <c r="F50" i="11"/>
  <c r="E53" i="11"/>
  <c r="F53" i="11"/>
  <c r="E56" i="11"/>
  <c r="F56" i="11"/>
  <c r="E59" i="11"/>
  <c r="F59" i="11"/>
  <c r="E62" i="11"/>
  <c r="F62" i="11"/>
  <c r="E65" i="11"/>
  <c r="F65" i="11"/>
  <c r="E68" i="11"/>
  <c r="F68" i="11"/>
  <c r="E71" i="11"/>
  <c r="F71" i="11"/>
  <c r="E74" i="11"/>
  <c r="F74" i="11"/>
  <c r="E77" i="11"/>
  <c r="F77" i="11"/>
  <c r="E80" i="11"/>
  <c r="F80" i="11"/>
  <c r="E83" i="11"/>
  <c r="F83" i="11"/>
  <c r="E86" i="11"/>
  <c r="F86" i="11"/>
  <c r="E90" i="11"/>
  <c r="F90" i="11"/>
  <c r="E93" i="11"/>
  <c r="F93" i="11"/>
  <c r="E96" i="11"/>
  <c r="F96" i="11"/>
  <c r="E99" i="11"/>
  <c r="F99" i="11"/>
  <c r="E102" i="11"/>
  <c r="F102" i="11"/>
  <c r="D7" i="11"/>
  <c r="D10" i="11"/>
  <c r="D13" i="11"/>
  <c r="D17" i="11"/>
  <c r="D20" i="11"/>
  <c r="D23" i="11"/>
  <c r="D26" i="11"/>
  <c r="D29" i="11"/>
  <c r="D32" i="11"/>
  <c r="D35" i="11"/>
  <c r="D38" i="11"/>
  <c r="D41" i="11"/>
  <c r="G41" i="11" s="1"/>
  <c r="H41" i="11" s="1"/>
  <c r="D34" i="10" s="1"/>
  <c r="D44" i="11"/>
  <c r="G44" i="11" s="1"/>
  <c r="H44" i="11" s="1"/>
  <c r="D37" i="10" s="1"/>
  <c r="D47" i="11"/>
  <c r="D50" i="11"/>
  <c r="D53" i="11"/>
  <c r="D56" i="11"/>
  <c r="D59" i="11"/>
  <c r="D62" i="11"/>
  <c r="D65" i="11"/>
  <c r="D68" i="11"/>
  <c r="D71" i="11"/>
  <c r="D74" i="11"/>
  <c r="D77" i="11"/>
  <c r="D80" i="11"/>
  <c r="D83" i="11"/>
  <c r="D86" i="11"/>
  <c r="D90" i="11"/>
  <c r="D93" i="11"/>
  <c r="G93" i="11" s="1"/>
  <c r="H93" i="11" s="1"/>
  <c r="D91" i="10" s="1"/>
  <c r="D94" i="11"/>
  <c r="D96" i="11" s="1"/>
  <c r="D99" i="11"/>
  <c r="D102" i="11"/>
  <c r="G102" i="11" s="1"/>
  <c r="C111" i="11"/>
  <c r="C117" i="11"/>
  <c r="C124" i="11"/>
  <c r="C130" i="11"/>
  <c r="C136" i="11"/>
  <c r="C147" i="11"/>
  <c r="F147" i="11"/>
  <c r="E147" i="11"/>
  <c r="D147" i="11"/>
  <c r="F136" i="11"/>
  <c r="E136" i="11"/>
  <c r="D136" i="11"/>
  <c r="F130" i="11"/>
  <c r="E130" i="11"/>
  <c r="D130" i="11"/>
  <c r="F124" i="11"/>
  <c r="E124" i="11"/>
  <c r="D124" i="11"/>
  <c r="F117" i="11"/>
  <c r="E117" i="11"/>
  <c r="D117" i="11"/>
  <c r="F111" i="11"/>
  <c r="E111" i="11"/>
  <c r="D111" i="11"/>
  <c r="I83" i="9"/>
  <c r="C123" i="10"/>
  <c r="C118" i="10"/>
  <c r="E118" i="10" s="1"/>
  <c r="C113" i="10"/>
  <c r="E113" i="10" s="1"/>
  <c r="C104" i="10"/>
  <c r="E104" i="10" s="1"/>
  <c r="C51" i="10"/>
  <c r="C73" i="10"/>
  <c r="C91" i="10"/>
  <c r="C48" i="10"/>
  <c r="C70" i="10"/>
  <c r="C67" i="10"/>
  <c r="C43" i="10"/>
  <c r="C65" i="10"/>
  <c r="C63" i="10"/>
  <c r="C61" i="10"/>
  <c r="C41" i="10"/>
  <c r="C88" i="10"/>
  <c r="C86" i="10"/>
  <c r="C81" i="10"/>
  <c r="C78" i="10"/>
  <c r="C37" i="10"/>
  <c r="C34" i="10"/>
  <c r="C32" i="10"/>
  <c r="C29" i="10"/>
  <c r="C27" i="10"/>
  <c r="C11" i="10"/>
  <c r="C7" i="10"/>
  <c r="C5" i="10"/>
  <c r="Q129" i="10"/>
  <c r="P129" i="10"/>
  <c r="O129" i="10"/>
  <c r="N129" i="10"/>
  <c r="M129" i="10"/>
  <c r="L129" i="10"/>
  <c r="Q118" i="10"/>
  <c r="P118" i="10"/>
  <c r="O118" i="10"/>
  <c r="N118" i="10"/>
  <c r="M118" i="10"/>
  <c r="Q67" i="10"/>
  <c r="P67" i="10"/>
  <c r="O67" i="10"/>
  <c r="N67" i="10"/>
  <c r="M67" i="10"/>
  <c r="L67" i="10"/>
  <c r="Q43" i="10"/>
  <c r="P43" i="10"/>
  <c r="O43" i="10"/>
  <c r="N43" i="10"/>
  <c r="M43" i="10"/>
  <c r="L43" i="10"/>
  <c r="Q65" i="10"/>
  <c r="P65" i="10"/>
  <c r="O65" i="10"/>
  <c r="N65" i="10"/>
  <c r="M65" i="10"/>
  <c r="L65" i="10"/>
  <c r="Q63" i="10"/>
  <c r="P63" i="10"/>
  <c r="O63" i="10"/>
  <c r="N63" i="10"/>
  <c r="M63" i="10"/>
  <c r="L63" i="10"/>
  <c r="Q61" i="10"/>
  <c r="P61" i="10"/>
  <c r="O61" i="10"/>
  <c r="N61" i="10"/>
  <c r="M61" i="10"/>
  <c r="L61" i="10"/>
  <c r="Q59" i="10"/>
  <c r="P59" i="10"/>
  <c r="O59" i="10"/>
  <c r="N59" i="10"/>
  <c r="M59" i="10"/>
  <c r="L59" i="10"/>
  <c r="Q41" i="10"/>
  <c r="P41" i="10"/>
  <c r="O41" i="10"/>
  <c r="N41" i="10"/>
  <c r="M41" i="10"/>
  <c r="L41" i="10"/>
  <c r="Q88" i="10"/>
  <c r="P88" i="10"/>
  <c r="P92" i="10" s="1"/>
  <c r="O88" i="10"/>
  <c r="O92" i="10" s="1"/>
  <c r="N88" i="10"/>
  <c r="M88" i="10"/>
  <c r="L88" i="10"/>
  <c r="Q78" i="10"/>
  <c r="P78" i="10"/>
  <c r="O78" i="10"/>
  <c r="N78" i="10"/>
  <c r="M78" i="10"/>
  <c r="L78" i="10"/>
  <c r="Q34" i="10"/>
  <c r="P34" i="10"/>
  <c r="O34" i="10"/>
  <c r="N34" i="10"/>
  <c r="M34" i="10"/>
  <c r="L34" i="10"/>
  <c r="P32" i="10"/>
  <c r="O32" i="10"/>
  <c r="N32" i="10"/>
  <c r="M32" i="10"/>
  <c r="L32" i="10"/>
  <c r="Q29" i="10"/>
  <c r="P29" i="10"/>
  <c r="O29" i="10"/>
  <c r="N29" i="10"/>
  <c r="M29" i="10"/>
  <c r="L29" i="10"/>
  <c r="Q27" i="10"/>
  <c r="P27" i="10"/>
  <c r="O27" i="10"/>
  <c r="N27" i="10"/>
  <c r="M27" i="10"/>
  <c r="Q25" i="10"/>
  <c r="P25" i="10"/>
  <c r="O25" i="10"/>
  <c r="N25" i="10"/>
  <c r="M25" i="10"/>
  <c r="Q20" i="10"/>
  <c r="P20" i="10"/>
  <c r="O20" i="10"/>
  <c r="N20" i="10"/>
  <c r="I84" i="10"/>
  <c r="I86" i="10" s="1"/>
  <c r="K129" i="10"/>
  <c r="J129" i="10"/>
  <c r="I129" i="10"/>
  <c r="H129" i="10"/>
  <c r="G129" i="10"/>
  <c r="F129" i="10"/>
  <c r="F118" i="10"/>
  <c r="G118" i="10"/>
  <c r="H118" i="10"/>
  <c r="I118" i="10"/>
  <c r="J118" i="10"/>
  <c r="K118" i="10"/>
  <c r="F51" i="10"/>
  <c r="K67" i="10"/>
  <c r="J67" i="10"/>
  <c r="I67" i="10"/>
  <c r="H67" i="10"/>
  <c r="G67" i="10"/>
  <c r="F67" i="10"/>
  <c r="K43" i="10"/>
  <c r="J43" i="10"/>
  <c r="I43" i="10"/>
  <c r="H43" i="10"/>
  <c r="G43" i="10"/>
  <c r="F43" i="10"/>
  <c r="K65" i="10"/>
  <c r="J65" i="10"/>
  <c r="I65" i="10"/>
  <c r="H65" i="10"/>
  <c r="G65" i="10"/>
  <c r="F65" i="10"/>
  <c r="K63" i="10"/>
  <c r="J63" i="10"/>
  <c r="I63" i="10"/>
  <c r="H63" i="10"/>
  <c r="G63" i="10"/>
  <c r="F63" i="10"/>
  <c r="K61" i="10"/>
  <c r="J61" i="10"/>
  <c r="I61" i="10"/>
  <c r="H61" i="10"/>
  <c r="G61" i="10"/>
  <c r="F61" i="10"/>
  <c r="K59" i="10"/>
  <c r="J59" i="10"/>
  <c r="I59" i="10"/>
  <c r="H59" i="10"/>
  <c r="G59" i="10"/>
  <c r="F59" i="10"/>
  <c r="K41" i="10"/>
  <c r="J41" i="10"/>
  <c r="I41" i="10"/>
  <c r="H41" i="10"/>
  <c r="G41" i="10"/>
  <c r="F41" i="10"/>
  <c r="K88" i="10"/>
  <c r="J88" i="10"/>
  <c r="I88" i="10"/>
  <c r="H88" i="10"/>
  <c r="G88" i="10"/>
  <c r="F88" i="10"/>
  <c r="K78" i="10"/>
  <c r="J78" i="10"/>
  <c r="I78" i="10"/>
  <c r="H78" i="10"/>
  <c r="G78" i="10"/>
  <c r="F78" i="10"/>
  <c r="K34" i="10"/>
  <c r="J34" i="10"/>
  <c r="I34" i="10"/>
  <c r="H34" i="10"/>
  <c r="G34" i="10"/>
  <c r="F34" i="10"/>
  <c r="K32" i="10"/>
  <c r="J32" i="10"/>
  <c r="I32" i="10"/>
  <c r="H32" i="10"/>
  <c r="G32" i="10"/>
  <c r="F32" i="10"/>
  <c r="K29" i="10"/>
  <c r="J29" i="10"/>
  <c r="I29" i="10"/>
  <c r="H29" i="10"/>
  <c r="G29" i="10"/>
  <c r="F29" i="10"/>
  <c r="G84" i="10"/>
  <c r="K92" i="10" l="1"/>
  <c r="F92" i="10"/>
  <c r="H92" i="10"/>
  <c r="I92" i="10"/>
  <c r="J92" i="10"/>
  <c r="C92" i="10"/>
  <c r="N92" i="10"/>
  <c r="M92" i="10"/>
  <c r="Q73" i="10"/>
  <c r="R73" i="10" s="1"/>
  <c r="G86" i="10"/>
  <c r="G92" i="10" s="1"/>
  <c r="L85" i="10"/>
  <c r="L116" i="10" s="1"/>
  <c r="R8" i="10"/>
  <c r="N5" i="10"/>
  <c r="O5" i="10" s="1"/>
  <c r="Q103" i="10"/>
  <c r="R103" i="10" s="1"/>
  <c r="L52" i="10"/>
  <c r="M52" i="10"/>
  <c r="C52" i="10"/>
  <c r="R90" i="10"/>
  <c r="Q70" i="10"/>
  <c r="R70" i="10" s="1"/>
  <c r="U70" i="10" s="1"/>
  <c r="R69" i="10"/>
  <c r="Q15" i="10"/>
  <c r="Q16" i="10" s="1"/>
  <c r="Q47" i="10"/>
  <c r="R47" i="10" s="1"/>
  <c r="R56" i="10"/>
  <c r="Q57" i="10"/>
  <c r="R57" i="10" s="1"/>
  <c r="U57" i="10" s="1"/>
  <c r="Q32" i="10"/>
  <c r="R32" i="10" s="1"/>
  <c r="U32" i="10" s="1"/>
  <c r="Q19" i="10"/>
  <c r="R19" i="10" s="1"/>
  <c r="S97" i="10"/>
  <c r="C74" i="10"/>
  <c r="F74" i="10"/>
  <c r="H74" i="10"/>
  <c r="I74" i="10"/>
  <c r="J74" i="10"/>
  <c r="K74" i="10"/>
  <c r="L74" i="10"/>
  <c r="M74" i="10"/>
  <c r="N74" i="10"/>
  <c r="O74" i="10"/>
  <c r="P74" i="10"/>
  <c r="G74" i="10"/>
  <c r="E123" i="10"/>
  <c r="R84" i="10"/>
  <c r="G68" i="11"/>
  <c r="H68" i="11" s="1"/>
  <c r="D61" i="10" s="1"/>
  <c r="E61" i="10" s="1"/>
  <c r="G99" i="11"/>
  <c r="H99" i="11" s="1"/>
  <c r="G71" i="11"/>
  <c r="H71" i="11" s="1"/>
  <c r="D63" i="10" s="1"/>
  <c r="E63" i="10" s="1"/>
  <c r="G50" i="11"/>
  <c r="H50" i="11" s="1"/>
  <c r="D81" i="10" s="1"/>
  <c r="E81" i="10" s="1"/>
  <c r="G13" i="11"/>
  <c r="H13" i="11" s="1"/>
  <c r="D7" i="10" s="1"/>
  <c r="E7" i="10" s="1"/>
  <c r="G59" i="11"/>
  <c r="H59" i="11" s="1"/>
  <c r="D41" i="10" s="1"/>
  <c r="E41" i="10" s="1"/>
  <c r="G56" i="11"/>
  <c r="H56" i="11" s="1"/>
  <c r="D88" i="10" s="1"/>
  <c r="E88" i="10" s="1"/>
  <c r="G20" i="11"/>
  <c r="H20" i="11" s="1"/>
  <c r="G65" i="11"/>
  <c r="H65" i="11" s="1"/>
  <c r="D59" i="10" s="1"/>
  <c r="E59" i="10" s="1"/>
  <c r="G62" i="11"/>
  <c r="H62" i="11" s="1"/>
  <c r="D57" i="10" s="1"/>
  <c r="G10" i="11"/>
  <c r="H10" i="11" s="1"/>
  <c r="E37" i="10"/>
  <c r="E34" i="10"/>
  <c r="E91" i="10"/>
  <c r="G86" i="11"/>
  <c r="H86" i="11" s="1"/>
  <c r="D70" i="10" s="1"/>
  <c r="E70" i="10" s="1"/>
  <c r="G35" i="11"/>
  <c r="H35" i="11" s="1"/>
  <c r="D29" i="10" s="1"/>
  <c r="E29" i="10" s="1"/>
  <c r="G80" i="11"/>
  <c r="H80" i="11" s="1"/>
  <c r="D67" i="10" s="1"/>
  <c r="E67" i="10" s="1"/>
  <c r="G32" i="11"/>
  <c r="H32" i="11" s="1"/>
  <c r="D27" i="10" s="1"/>
  <c r="E27" i="10" s="1"/>
  <c r="G90" i="11"/>
  <c r="H90" i="11" s="1"/>
  <c r="D48" i="10" s="1"/>
  <c r="E48" i="10" s="1"/>
  <c r="G38" i="11"/>
  <c r="H38" i="11" s="1"/>
  <c r="D32" i="10" s="1"/>
  <c r="E32" i="10" s="1"/>
  <c r="G83" i="11"/>
  <c r="H83" i="11" s="1"/>
  <c r="H147" i="11"/>
  <c r="G29" i="11"/>
  <c r="H29" i="11" s="1"/>
  <c r="G47" i="11"/>
  <c r="H47" i="11" s="1"/>
  <c r="D78" i="10" s="1"/>
  <c r="E78" i="10" s="1"/>
  <c r="G23" i="11"/>
  <c r="H23" i="11" s="1"/>
  <c r="E20" i="10" s="1"/>
  <c r="R61" i="10"/>
  <c r="U61" i="10" s="1"/>
  <c r="R81" i="10"/>
  <c r="U81" i="10" s="1"/>
  <c r="R41" i="10"/>
  <c r="U41" i="10" s="1"/>
  <c r="G77" i="11"/>
  <c r="H77" i="11" s="1"/>
  <c r="D43" i="10" s="1"/>
  <c r="E43" i="10" s="1"/>
  <c r="G96" i="11"/>
  <c r="H96" i="11" s="1"/>
  <c r="D73" i="10" s="1"/>
  <c r="G53" i="11"/>
  <c r="H53" i="11" s="1"/>
  <c r="D86" i="10" s="1"/>
  <c r="G26" i="11"/>
  <c r="H26" i="11" s="1"/>
  <c r="D25" i="10" s="1"/>
  <c r="E25" i="10" s="1"/>
  <c r="G7" i="11"/>
  <c r="H7" i="11" s="1"/>
  <c r="D5" i="10" s="1"/>
  <c r="G74" i="11"/>
  <c r="H74" i="11" s="1"/>
  <c r="D65" i="10" s="1"/>
  <c r="E65" i="10" s="1"/>
  <c r="G17" i="11"/>
  <c r="H17" i="11" s="1"/>
  <c r="D11" i="10" s="1"/>
  <c r="E11" i="10" s="1"/>
  <c r="H102" i="11"/>
  <c r="D51" i="10" s="1"/>
  <c r="H124" i="11"/>
  <c r="H117" i="11"/>
  <c r="H130" i="11"/>
  <c r="C103" i="11"/>
  <c r="C151" i="11" s="1"/>
  <c r="H136" i="11"/>
  <c r="D103" i="11"/>
  <c r="F103" i="11"/>
  <c r="E103" i="11"/>
  <c r="H111" i="11"/>
  <c r="R59" i="10"/>
  <c r="U59" i="10" s="1"/>
  <c r="R43" i="10"/>
  <c r="R88" i="10"/>
  <c r="U88" i="10" s="1"/>
  <c r="R67" i="10"/>
  <c r="U67" i="10" s="1"/>
  <c r="R65" i="10"/>
  <c r="U65" i="10" s="1"/>
  <c r="R29" i="10"/>
  <c r="U29" i="10" s="1"/>
  <c r="R78" i="10"/>
  <c r="U78" i="10" s="1"/>
  <c r="U37" i="10"/>
  <c r="R63" i="10"/>
  <c r="U63" i="10" s="1"/>
  <c r="R129" i="10"/>
  <c r="R51" i="10"/>
  <c r="U51" i="10" s="1"/>
  <c r="R34" i="10"/>
  <c r="U34" i="10" s="1"/>
  <c r="K27" i="10"/>
  <c r="J27" i="10"/>
  <c r="I27" i="10"/>
  <c r="H27" i="10"/>
  <c r="G27" i="10"/>
  <c r="F27" i="10"/>
  <c r="J25" i="10"/>
  <c r="I25" i="10"/>
  <c r="H25" i="10"/>
  <c r="G25" i="10"/>
  <c r="F25" i="10"/>
  <c r="K20" i="10"/>
  <c r="J20" i="10"/>
  <c r="I20" i="10"/>
  <c r="H20" i="10"/>
  <c r="G20" i="10"/>
  <c r="F20" i="10"/>
  <c r="K7" i="10"/>
  <c r="J7" i="10"/>
  <c r="I7" i="10"/>
  <c r="H7" i="10"/>
  <c r="G7" i="10"/>
  <c r="F7" i="10"/>
  <c r="F5" i="10"/>
  <c r="G5" i="10"/>
  <c r="H5" i="10"/>
  <c r="I5" i="10"/>
  <c r="L79" i="9"/>
  <c r="L61" i="9"/>
  <c r="L80" i="9"/>
  <c r="L75" i="9"/>
  <c r="B73" i="9"/>
  <c r="L76" i="9"/>
  <c r="L63" i="9"/>
  <c r="L58" i="9"/>
  <c r="L53" i="9"/>
  <c r="B46" i="9"/>
  <c r="B47" i="9" s="1"/>
  <c r="Q40" i="9"/>
  <c r="C39" i="9"/>
  <c r="C82" i="9" s="1"/>
  <c r="L36" i="9"/>
  <c r="K36" i="9"/>
  <c r="L35" i="9"/>
  <c r="K35" i="9"/>
  <c r="K34" i="9"/>
  <c r="L33" i="9"/>
  <c r="K33" i="9"/>
  <c r="L32" i="9"/>
  <c r="K32" i="9"/>
  <c r="L31" i="9"/>
  <c r="K31" i="9"/>
  <c r="L30" i="9"/>
  <c r="K30" i="9"/>
  <c r="L28" i="9"/>
  <c r="K28" i="9"/>
  <c r="K26" i="9"/>
  <c r="K25" i="9"/>
  <c r="L25" i="9"/>
  <c r="L24" i="9"/>
  <c r="K24" i="9"/>
  <c r="K23" i="9"/>
  <c r="L22" i="9"/>
  <c r="K22" i="9"/>
  <c r="K21" i="9"/>
  <c r="L20" i="9"/>
  <c r="K20" i="9"/>
  <c r="K19" i="9"/>
  <c r="L19" i="9"/>
  <c r="L17" i="9"/>
  <c r="K17" i="9"/>
  <c r="Q16" i="9"/>
  <c r="Q2" i="9" s="1"/>
  <c r="K16" i="9"/>
  <c r="L16" i="9"/>
  <c r="K15" i="9"/>
  <c r="K14" i="9"/>
  <c r="K13" i="9"/>
  <c r="L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M39" i="6"/>
  <c r="M2" i="6"/>
  <c r="M16" i="6"/>
  <c r="I5" i="6"/>
  <c r="G6" i="6"/>
  <c r="K6" i="6"/>
  <c r="D92" i="10" l="1"/>
  <c r="M131" i="10"/>
  <c r="Q85" i="10"/>
  <c r="R85" i="10" s="1"/>
  <c r="L86" i="10"/>
  <c r="L92" i="10" s="1"/>
  <c r="N52" i="10"/>
  <c r="N131" i="10" s="1"/>
  <c r="P5" i="10"/>
  <c r="O52" i="10"/>
  <c r="O131" i="10" s="1"/>
  <c r="Q104" i="10"/>
  <c r="Q48" i="10"/>
  <c r="R48" i="10" s="1"/>
  <c r="S48" i="10" s="1"/>
  <c r="F52" i="10"/>
  <c r="F131" i="10" s="1"/>
  <c r="F137" i="10" s="1"/>
  <c r="R15" i="10"/>
  <c r="D52" i="10"/>
  <c r="J52" i="10"/>
  <c r="J131" i="10" s="1"/>
  <c r="K52" i="10"/>
  <c r="K131" i="10" s="1"/>
  <c r="I52" i="10"/>
  <c r="I131" i="10" s="1"/>
  <c r="H52" i="10"/>
  <c r="H131" i="10" s="1"/>
  <c r="G52" i="10"/>
  <c r="G131" i="10" s="1"/>
  <c r="Q74" i="10"/>
  <c r="C131" i="10"/>
  <c r="S129" i="10"/>
  <c r="U74" i="10"/>
  <c r="E57" i="10"/>
  <c r="S57" i="10" s="1"/>
  <c r="D74" i="10"/>
  <c r="E5" i="10"/>
  <c r="R74" i="10"/>
  <c r="E73" i="10"/>
  <c r="S123" i="10"/>
  <c r="S37" i="10"/>
  <c r="N4" i="10"/>
  <c r="E51" i="10"/>
  <c r="S61" i="10"/>
  <c r="S63" i="10"/>
  <c r="S34" i="10"/>
  <c r="S43" i="10"/>
  <c r="S88" i="10"/>
  <c r="S41" i="10"/>
  <c r="S91" i="10"/>
  <c r="S59" i="10"/>
  <c r="S78" i="10"/>
  <c r="S65" i="10"/>
  <c r="S32" i="10"/>
  <c r="S29" i="10"/>
  <c r="S81" i="10"/>
  <c r="S67" i="10"/>
  <c r="S70" i="10"/>
  <c r="E86" i="10"/>
  <c r="E92" i="10" s="1"/>
  <c r="R20" i="10"/>
  <c r="U20" i="10" s="1"/>
  <c r="R11" i="10"/>
  <c r="U11" i="10" s="1"/>
  <c r="G103" i="11"/>
  <c r="H103" i="11" s="1"/>
  <c r="R27" i="10"/>
  <c r="U27" i="10" s="1"/>
  <c r="R7" i="10"/>
  <c r="U7" i="10" s="1"/>
  <c r="S113" i="10"/>
  <c r="R16" i="10"/>
  <c r="U16" i="10" s="1"/>
  <c r="R25" i="10"/>
  <c r="U25" i="10" s="1"/>
  <c r="K29" i="9"/>
  <c r="L29" i="9"/>
  <c r="K27" i="9"/>
  <c r="L27" i="9"/>
  <c r="K18" i="9"/>
  <c r="L18" i="9"/>
  <c r="L21" i="9"/>
  <c r="L34" i="9"/>
  <c r="L14" i="9"/>
  <c r="L26" i="9"/>
  <c r="L15" i="9"/>
  <c r="L23" i="9"/>
  <c r="L5" i="9"/>
  <c r="G72" i="6"/>
  <c r="G71" i="6"/>
  <c r="K35" i="6"/>
  <c r="I36" i="6"/>
  <c r="F27" i="6"/>
  <c r="G27" i="6" s="1"/>
  <c r="I19" i="6"/>
  <c r="F19" i="6"/>
  <c r="F18" i="6"/>
  <c r="G18" i="6" s="1"/>
  <c r="I18" i="6" s="1"/>
  <c r="K11" i="6"/>
  <c r="L6" i="6"/>
  <c r="F10" i="6"/>
  <c r="G10" i="6" s="1"/>
  <c r="K10" i="6" s="1"/>
  <c r="L10" i="6"/>
  <c r="L22" i="6"/>
  <c r="G22" i="6"/>
  <c r="K22" i="6" s="1"/>
  <c r="F8" i="6"/>
  <c r="G8" i="6" s="1"/>
  <c r="K8" i="6" s="1"/>
  <c r="K19" i="6"/>
  <c r="K9" i="6"/>
  <c r="L75" i="6"/>
  <c r="L72" i="6"/>
  <c r="L62" i="6"/>
  <c r="L58" i="6"/>
  <c r="L54" i="6"/>
  <c r="L49" i="6"/>
  <c r="C38" i="6"/>
  <c r="C77" i="6" s="1"/>
  <c r="F34" i="6"/>
  <c r="G34" i="6" s="1"/>
  <c r="I34" i="6" s="1"/>
  <c r="B45" i="6"/>
  <c r="B46" i="6" s="1"/>
  <c r="G12" i="6"/>
  <c r="K12" i="6" s="1"/>
  <c r="L8" i="6"/>
  <c r="L11" i="6"/>
  <c r="L28" i="6"/>
  <c r="L30" i="6"/>
  <c r="L31" i="6"/>
  <c r="L9" i="6"/>
  <c r="L32" i="6"/>
  <c r="L35" i="6"/>
  <c r="L12" i="6"/>
  <c r="G55" i="6"/>
  <c r="G51" i="6"/>
  <c r="B70" i="6"/>
  <c r="G63" i="6" s="1"/>
  <c r="F36" i="6"/>
  <c r="G36" i="6" s="1"/>
  <c r="F5" i="6"/>
  <c r="G5" i="6" s="1"/>
  <c r="F21" i="6"/>
  <c r="G21" i="6" s="1"/>
  <c r="I21" i="6" s="1"/>
  <c r="F29" i="6"/>
  <c r="G29" i="6" s="1"/>
  <c r="I29" i="6" s="1"/>
  <c r="E38" i="6"/>
  <c r="E77" i="6" s="1"/>
  <c r="G32" i="6"/>
  <c r="K32" i="6" s="1"/>
  <c r="G31" i="6"/>
  <c r="K31" i="6" s="1"/>
  <c r="I44" i="6"/>
  <c r="I42" i="6"/>
  <c r="G30" i="6"/>
  <c r="K30" i="6" s="1"/>
  <c r="G28" i="6"/>
  <c r="K28" i="6" s="1"/>
  <c r="G26" i="6"/>
  <c r="I26" i="6" s="1"/>
  <c r="G33" i="6"/>
  <c r="G16" i="6"/>
  <c r="I16" i="6" s="1"/>
  <c r="G24" i="6"/>
  <c r="G13" i="6"/>
  <c r="I13" i="6" s="1"/>
  <c r="G25" i="6"/>
  <c r="I25" i="6" s="1"/>
  <c r="G17" i="6"/>
  <c r="G23" i="6"/>
  <c r="I23" i="6" s="1"/>
  <c r="G14" i="6"/>
  <c r="I14" i="6" s="1"/>
  <c r="F20" i="6"/>
  <c r="G20" i="6" s="1"/>
  <c r="G15" i="6"/>
  <c r="I15" i="6" s="1"/>
  <c r="G96" i="6"/>
  <c r="G74" i="1"/>
  <c r="I33" i="1"/>
  <c r="R104" i="10" l="1"/>
  <c r="S104" i="10" s="1"/>
  <c r="Q86" i="10"/>
  <c r="Q92" i="10" s="1"/>
  <c r="L118" i="10"/>
  <c r="R118" i="10" s="1"/>
  <c r="R116" i="10"/>
  <c r="S20" i="10"/>
  <c r="Q5" i="10"/>
  <c r="Q52" i="10" s="1"/>
  <c r="P52" i="10"/>
  <c r="P131" i="10" s="1"/>
  <c r="E52" i="10"/>
  <c r="R86" i="10"/>
  <c r="D131" i="10"/>
  <c r="S27" i="10"/>
  <c r="S25" i="10"/>
  <c r="S16" i="10"/>
  <c r="S7" i="10"/>
  <c r="S11" i="10"/>
  <c r="E74" i="10"/>
  <c r="S73" i="10"/>
  <c r="S51" i="10"/>
  <c r="O4" i="10"/>
  <c r="L39" i="9"/>
  <c r="K5" i="9"/>
  <c r="K39" i="9" s="1"/>
  <c r="I27" i="6"/>
  <c r="L27" i="6" s="1"/>
  <c r="K27" i="6"/>
  <c r="K14" i="6"/>
  <c r="K23" i="6"/>
  <c r="K26" i="6"/>
  <c r="K16" i="6"/>
  <c r="K20" i="6"/>
  <c r="K33" i="6"/>
  <c r="K15" i="6"/>
  <c r="K17" i="6"/>
  <c r="K34" i="6"/>
  <c r="K18" i="6"/>
  <c r="K29" i="6"/>
  <c r="K5" i="6"/>
  <c r="K24" i="6"/>
  <c r="K13" i="6"/>
  <c r="K36" i="6"/>
  <c r="K21" i="6"/>
  <c r="K25" i="6"/>
  <c r="K7" i="6"/>
  <c r="L5" i="6"/>
  <c r="L16" i="6"/>
  <c r="L24" i="6"/>
  <c r="L26" i="6"/>
  <c r="L33" i="6"/>
  <c r="L36" i="6"/>
  <c r="L17" i="6"/>
  <c r="L23" i="6"/>
  <c r="L20" i="6"/>
  <c r="L29" i="6"/>
  <c r="L14" i="6"/>
  <c r="L19" i="6"/>
  <c r="L34" i="6"/>
  <c r="L18" i="6"/>
  <c r="L15" i="6"/>
  <c r="L7" i="6"/>
  <c r="L13" i="6"/>
  <c r="L21" i="6"/>
  <c r="L25" i="6"/>
  <c r="I45" i="6"/>
  <c r="I46" i="6" s="1"/>
  <c r="G38" i="6"/>
  <c r="F38" i="6"/>
  <c r="F77" i="6" s="1"/>
  <c r="G33" i="1"/>
  <c r="U86" i="10" l="1"/>
  <c r="U92" i="10" s="1"/>
  <c r="R92" i="10"/>
  <c r="S118" i="10"/>
  <c r="L131" i="10"/>
  <c r="Q131" i="10"/>
  <c r="S86" i="10"/>
  <c r="E131" i="10"/>
  <c r="S74" i="10"/>
  <c r="P4" i="10"/>
  <c r="L82" i="9"/>
  <c r="G77" i="6"/>
  <c r="G85" i="6" s="1"/>
  <c r="L38" i="6"/>
  <c r="I38" i="6"/>
  <c r="I77" i="6" s="1"/>
  <c r="K38" i="6"/>
  <c r="S92" i="10" l="1"/>
  <c r="Q4" i="10"/>
  <c r="K94" i="9"/>
  <c r="G84" i="6"/>
  <c r="G86" i="6" s="1"/>
  <c r="G89" i="6" s="1"/>
  <c r="L77" i="6"/>
  <c r="R4" i="10" l="1"/>
  <c r="R5" i="10"/>
  <c r="I86" i="6"/>
  <c r="I89" i="6" s="1"/>
  <c r="K89" i="6" s="1"/>
  <c r="R52" i="10" l="1"/>
  <c r="R131" i="10" s="1"/>
  <c r="U5" i="10"/>
  <c r="U52" i="10" s="1"/>
  <c r="U131" i="10" s="1"/>
  <c r="S5" i="10"/>
  <c r="S52" i="10" l="1"/>
  <c r="S131" i="10" l="1"/>
  <c r="L146" i="10" s="1"/>
  <c r="L145" i="10"/>
  <c r="Y2" i="10" l="1"/>
  <c r="D159" i="10"/>
  <c r="E159" i="10" s="1"/>
  <c r="L147" i="10"/>
  <c r="N147" i="10" s="1"/>
  <c r="N150" i="10" s="1"/>
  <c r="P150" i="10" s="1"/>
  <c r="L15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tc={D37B52FA-2650-469F-8AA9-A987E70C6F0A}</author>
    <author>tc={BF81A05E-03B2-4B36-8FB9-2FB942A1B1B8}</author>
    <author>tc={984ACAD3-42DF-4F56-920A-96EB857517F0}</author>
    <author>tc={6C3185FD-C9DD-4753-A646-098EF79482CB}</author>
    <author>tc={C736C098-EBC2-4295-86BF-276118B6FA83}</author>
    <author>Simon Hedges</author>
    <author>tc={0F1A6C2D-9D5A-4229-8C9A-37736D42E107}</author>
    <author>tc={4EC01B61-364A-482A-AEED-D0C0B13BA421}</author>
    <author>tc={37E6A3A7-CF8A-4876-8B22-22D2C12347E7}</author>
    <author>tc={C4C60BF3-F8E2-48BD-80F5-77000CEB5567}</author>
    <author>tc={39C16795-FC6D-4459-AC35-E46A13B51D3A}</author>
    <author>tc={B44B69D8-F3FC-4737-9951-A876DAD553C0}</author>
    <author>tc={2276A2DE-477A-4774-AAD8-F9D4927FE931}</author>
  </authors>
  <commentList>
    <comment ref="F8" authorId="0" shapeId="0" xr:uid="{D37B52FA-2650-469F-8AA9-A987E70C6F0A}">
      <text>
        <t>[Threaded comment]
Your version of Excel allows you to read this threaded comment; however, any edits to it will get removed if the file is opened in a newer version of Excel. Learn more: https://go.microsoft.com/fwlink/?linkid=870924
Comment:
    3 month of budget, plus printer cost</t>
      </text>
    </comment>
    <comment ref="I8" authorId="1" shapeId="0" xr:uid="{BF81A05E-03B2-4B36-8FB9-2FB942A1B1B8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asterisked items which are included elsewhere.  So keep as per 2024/25 budget plus inflation.</t>
      </text>
    </comment>
    <comment ref="I10" authorId="2" shapeId="0" xr:uid="{984ACAD3-42DF-4F56-920A-96EB857517F0}">
      <text>
        <t>[Threaded comment]
Your version of Excel allows you to read this threaded comment; however, any edits to it will get removed if the file is opened in a newer version of Excel. Learn more: https://go.microsoft.com/fwlink/?linkid=870924
Comment:
    Don’t yet know the specific charges for our account.</t>
      </text>
    </comment>
    <comment ref="A11" authorId="3" shapeId="0" xr:uid="{6C3185FD-C9DD-4753-A646-098EF794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F18" authorId="4" shapeId="0" xr:uid="{C736C098-EBC2-4295-86BF-276118B6FA83}">
      <text>
        <t>[Threaded comment]
Your version of Excel allows you to read this threaded comment; however, any edits to it will get removed if the file is opened in a newer version of Excel. Learn more: https://go.microsoft.com/fwlink/?linkid=870924
Comment:
    3 months at spend rate to end dec + 400 for Church Road Clearance</t>
      </text>
    </comment>
    <comment ref="I28" authorId="5" shapeId="0" xr:uid="{065408CB-E012-434F-995D-9F5B32EE4A8A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Must always remain in, in case an election needs calling.</t>
        </r>
      </text>
    </comment>
    <comment ref="A30" authorId="6" shapeId="0" xr:uid="{0F1A6C2D-9D5A-4229-8C9A-37736D42E10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named CLT Forum.  Is there a reason that this is in this section of the budget, rather than the “Funds” section below?</t>
      </text>
    </comment>
    <comment ref="I31" authorId="7" shapeId="0" xr:uid="{4EC01B61-364A-482A-AEED-D0C0B13BA421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 to £500 as no spend in 2024/25</t>
      </text>
    </comment>
    <comment ref="F32" authorId="8" shapeId="0" xr:uid="{37E6A3A7-CF8A-4876-8B22-22D2C12347E7}">
      <text>
        <t>[Threaded comment]
Your version of Excel allows you to read this threaded comment; however, any edits to it will get removed if the file is opened in a newer version of Excel. Learn more: https://go.microsoft.com/fwlink/?linkid=870924
Comment:
    Play Area ROSPA Repairs</t>
      </text>
    </comment>
    <comment ref="A49" authorId="9" shapeId="0" xr:uid="{C4C60BF3-F8E2-48BD-80F5-77000CEB5567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Community activities and cohesion, including the growth of social activities in the parish, encouraging volunteering.</t>
      </text>
    </comment>
    <comment ref="I49" authorId="10" shapeId="0" xr:uid="{39C16795-FC6D-4459-AC35-E46A13B51D3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Increase, as we are spending a good proportion of this budget on the Social worker, and we may need to spend more in 2025/26 to encourage more community activity and volunteering in the parish.</t>
      </text>
    </comment>
    <comment ref="A54" authorId="11" shapeId="0" xr:uid="{B44B69D8-F3FC-4737-9951-A876DAD553C0}">
      <text>
        <t>[Threaded comment]
Your version of Excel allows you to read this threaded comment; however, any edits to it will get removed if the file is opened in a newer version of Excel. Learn more: https://go.microsoft.com/fwlink/?linkid=870924
Comment:
    Lime Avenue Regeneration, other Tree Planting  and Maintenance</t>
      </text>
    </comment>
    <comment ref="A58" authorId="12" shapeId="0" xr:uid="{2276A2DE-477A-4774-AAD8-F9D4927FE931}">
      <text>
        <t>[Threaded comment]
Your version of Excel allows you to read this threaded comment; however, any edits to it will get removed if the file is opened in a newer version of Excel. Learn more: https://go.microsoft.com/fwlink/?linkid=870924
Comment:
    Fire Station, Bus Shelters, Gazebo, Tennis Hut, War Memorial, Additional Traffic Signs and Lighting, Flagpole (via RBL), Equipment other than on Big Rec.  To be reviewed in 25/26 - consider splitting into other funds.</t>
      </text>
    </comment>
    <comment ref="B70" authorId="5" shapeId="0" xr:uid="{FF65B0AC-A41C-434E-95BD-3993ACF65FF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Doesn't match the £4187.58 in the wording.</t>
        </r>
      </text>
    </comment>
    <comment ref="E71" authorId="5" shapeId="0" xr:uid="{B7E3055E-A14C-4203-BB75-DF5F7594FD68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Should ths not be part of the Community Fund?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tc={92DEC327-DF72-4D4C-AE05-CC3C43042532}</author>
    <author>tc={74CB683E-5ECF-4D9E-BFD5-11C86CF227AF}</author>
    <author>tc={43110B68-781D-449E-B0B0-E2A3456FBFA1}</author>
    <author>tc={A8617DB8-080F-478E-A5C0-8F40C6F6B03F}</author>
    <author>tc={E3FE0CEB-4CF4-4BFD-84B3-5DAA6877C0C3}</author>
    <author>Simon Hedges</author>
    <author>tc={C4245366-BE61-4955-BC19-B218DC7B6B52}</author>
    <author>tc={3BB01ADA-679E-4A90-95CD-2A5479C8F53C}</author>
    <author>tc={C1FC2C34-F74F-45EB-8473-91FD6804ECB0}</author>
    <author>tc={B35B9CA0-1B41-45E1-8322-BCF58FF1C9CD}</author>
    <author>tc={1782196A-0054-4DAC-A16B-0445999F52D2}</author>
    <author>tc={C3C882F3-E49F-47D9-B589-A42F05B1EEBE}</author>
    <author>tc={F1558F6A-FB06-417C-99DE-1B7D19782191}</author>
  </authors>
  <commentList>
    <comment ref="F8" authorId="0" shapeId="0" xr:uid="{92DEC327-DF72-4D4C-AE05-CC3C43042532}">
      <text>
        <t>[Threaded comment]
Your version of Excel allows you to read this threaded comment; however, any edits to it will get removed if the file is opened in a newer version of Excel. Learn more: https://go.microsoft.com/fwlink/?linkid=870924
Comment:
    3 month of budget, plus printer cost</t>
      </text>
    </comment>
    <comment ref="I8" authorId="1" shapeId="0" xr:uid="{74CB683E-5ECF-4D9E-BFD5-11C86CF227AF}">
      <text>
        <t>[Threaded comment]
Your version of Excel allows you to read this threaded comment; however, any edits to it will get removed if the file is opened in a newer version of Excel. Learn more: https://go.microsoft.com/fwlink/?linkid=870924
Comment:
    Excludes asterisked items which are included elsewhere.  So keep as per 2024/25 budget plus inflation.</t>
      </text>
    </comment>
    <comment ref="I10" authorId="2" shapeId="0" xr:uid="{43110B68-781D-449E-B0B0-E2A3456FBFA1}">
      <text>
        <t>[Threaded comment]
Your version of Excel allows you to read this threaded comment; however, any edits to it will get removed if the file is opened in a newer version of Excel. Learn more: https://go.microsoft.com/fwlink/?linkid=870924
Comment:
    Don’t yet know the specific charges for our account.</t>
      </text>
    </comment>
    <comment ref="A11" authorId="3" shapeId="0" xr:uid="{A8617DB8-080F-478E-A5C0-8F40C6F6B03F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F18" authorId="4" shapeId="0" xr:uid="{E3FE0CEB-4CF4-4BFD-84B3-5DAA6877C0C3}">
      <text>
        <t>[Threaded comment]
Your version of Excel allows you to read this threaded comment; however, any edits to it will get removed if the file is opened in a newer version of Excel. Learn more: https://go.microsoft.com/fwlink/?linkid=870924
Comment:
    3 months at spend rate to end dec + 400 for Church Road Clearance</t>
      </text>
    </comment>
    <comment ref="I28" authorId="5" shapeId="0" xr:uid="{88AB7CA2-CBE3-4A54-934B-768D5220739F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Must always remain in, in case an election needs calling.</t>
        </r>
      </text>
    </comment>
    <comment ref="A30" authorId="6" shapeId="0" xr:uid="{C4245366-BE61-4955-BC19-B218DC7B6B52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named CLT Forum.  Is there a reason that this is in this section of the budget, rather than the “Funds” section below?</t>
      </text>
    </comment>
    <comment ref="I31" authorId="7" shapeId="0" xr:uid="{3BB01ADA-679E-4A90-95CD-2A5479C8F53C}">
      <text>
        <t>[Threaded comment]
Your version of Excel allows you to read this threaded comment; however, any edits to it will get removed if the file is opened in a newer version of Excel. Learn more: https://go.microsoft.com/fwlink/?linkid=870924
Comment:
    Reduce to £500 as no spend in 2024/25</t>
      </text>
    </comment>
    <comment ref="F32" authorId="8" shapeId="0" xr:uid="{C1FC2C34-F74F-45EB-8473-91FD6804ECB0}">
      <text>
        <t>[Threaded comment]
Your version of Excel allows you to read this threaded comment; however, any edits to it will get removed if the file is opened in a newer version of Excel. Learn more: https://go.microsoft.com/fwlink/?linkid=870924
Comment:
    Play Area ROSPA Repairs</t>
      </text>
    </comment>
    <comment ref="A50" authorId="9" shapeId="0" xr:uid="{B35B9CA0-1B41-45E1-8322-BCF58FF1C9CD}">
      <text>
        <t>[Threaded comment]
Your version of Excel allows you to read this threaded comment; however, any edits to it will get removed if the file is opened in a newer version of Excel. Learn more: https://go.microsoft.com/fwlink/?linkid=870924
Comment:
    Community activities and cohesion, including the growth of social activities in the parish, encouraging volunteering.</t>
      </text>
    </comment>
    <comment ref="I53" authorId="10" shapeId="0" xr:uid="{1782196A-0054-4DAC-A16B-0445999F52D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Increase, as we are spending a good proportion of this budget on the Social worker, and we may need to spend more in 2025/26 to encourage more community activity and volunteering in the parish.</t>
      </text>
    </comment>
    <comment ref="A56" authorId="11" shapeId="0" xr:uid="{C3C882F3-E49F-47D9-B589-A42F05B1EEBE}">
      <text>
        <t>[Threaded comment]
Your version of Excel allows you to read this threaded comment; however, any edits to it will get removed if the file is opened in a newer version of Excel. Learn more: https://go.microsoft.com/fwlink/?linkid=870924
Comment:
    Lime Avenue Regeneration, other Tree Planting  and Maintenance</t>
      </text>
    </comment>
    <comment ref="A61" authorId="12" shapeId="0" xr:uid="{F1558F6A-FB06-417C-99DE-1B7D19782191}">
      <text>
        <t>[Threaded comment]
Your version of Excel allows you to read this threaded comment; however, any edits to it will get removed if the file is opened in a newer version of Excel. Learn more: https://go.microsoft.com/fwlink/?linkid=870924
Comment:
    Fire Station, Bus Shelters, Gazebo, Tennis Hut, War Memorial, Additional Traffic Signs and Lighting, Flagpole (via RBL), Equipment other than on Big Rec.  To be reviewed in 25/26 - consider splitting into other funds.</t>
      </text>
    </comment>
    <comment ref="B73" authorId="5" shapeId="0" xr:uid="{F13BCC82-6AF3-46FF-8DBC-38B5BCE44199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Doesn't match the £4187.58 in the wording.</t>
        </r>
      </text>
    </comment>
    <comment ref="E74" authorId="5" shapeId="0" xr:uid="{22395F44-4C0B-4628-AF4C-C8105BA88593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Should ths not be part of the Community Fund?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tc={58E18842-D4C9-4737-A408-934B83BD907B}</author>
    <author>tc={071FF7D2-8ECC-49E8-B17F-B97903C2E76D}</author>
    <author>tc={6AC7D582-86C1-43CA-B12B-E75A0990E9E5}</author>
    <author>tc={8B61BE6A-8C1E-47DD-96F5-A0F0F815C2CD}</author>
    <author>tc={764D4041-8ED4-45AD-AFF6-62CBBF237150}</author>
    <author>tc={394EDB9B-0230-497E-98DA-DD334B3325CB}</author>
    <author>tc={19E3CA50-DE93-4812-8674-42BD66C3F13E}</author>
    <author>tc={AFB1067B-985B-44EF-92B4-E6FA97DDFE35}</author>
  </authors>
  <commentList>
    <comment ref="B24" authorId="0" shapeId="0" xr:uid="{58E18842-D4C9-4737-A408-934B83BD907B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B25" authorId="1" shapeId="0" xr:uid="{071FF7D2-8ECC-49E8-B17F-B97903C2E76D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B26" authorId="2" shapeId="0" xr:uid="{6AC7D582-86C1-43CA-B12B-E75A0990E9E5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B81" authorId="3" shapeId="0" xr:uid="{8B61BE6A-8C1E-47DD-96F5-A0F0F815C2C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named CLT Forum.  Is there a reason that this is in this section of the budget, rather than the “Funds” section below?</t>
      </text>
    </comment>
    <comment ref="B82" authorId="4" shapeId="0" xr:uid="{764D4041-8ED4-45AD-AFF6-62CBBF23715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named CLT Forum.  Is there a reason that this is in this section of the budget, rather than the “Funds” section below?</t>
      </text>
    </comment>
    <comment ref="B83" authorId="5" shapeId="0" xr:uid="{394EDB9B-0230-497E-98DA-DD334B3325C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was named CLT Forum.  Is there a reason that this is in this section of the budget, rather than the “Funds” section below?</t>
      </text>
    </comment>
    <comment ref="B114" authorId="6" shapeId="0" xr:uid="{19E3CA50-DE93-4812-8674-42BD66C3F13E}">
      <text>
        <t>[Threaded comment]
Your version of Excel allows you to read this threaded comment; however, any edits to it will get removed if the file is opened in a newer version of Excel. Learn more: https://go.microsoft.com/fwlink/?linkid=870924
Comment:
    Lime Avenue Regeneration, other Tree Planting  and Maintenance</t>
      </text>
    </comment>
    <comment ref="B120" authorId="7" shapeId="0" xr:uid="{AFB1067B-985B-44EF-92B4-E6FA97DDFE35}">
      <text>
        <t>[Threaded comment]
Your version of Excel allows you to read this threaded comment; however, any edits to it will get removed if the file is opened in a newer version of Excel. Learn more: https://go.microsoft.com/fwlink/?linkid=870924
Comment:
    Fire Station, Bus Shelters, Gazebo, Tennis Hut, War Memorial, Additional Traffic Signs and Lighting, Flagpole (via RBL), Equipment other than on Big Rec.  To be reviewed in 25/26 - consider splitting into other funds.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 Hedges</author>
    <author>tc={98383598-7B9D-49E7-9168-A45AA40BACB3}</author>
    <author>tc={C726BA2B-CBA3-4AC7-BBA2-7AFFABB89769}</author>
    <author>tc={952DC61D-19A3-4D5F-8E71-B21AC52A4FB1}</author>
    <author>tc={BA40BEFC-3DEE-4520-9F3D-A2A626B28800}</author>
    <author>tc={56CC8D4E-AE60-4B53-9B41-96987B166A65}</author>
    <author>tc={2A30FFE0-79B9-4230-99B8-C55CAA761DDC}</author>
    <author>tc={83108D9E-0ED8-43FD-BBB1-69327CB6F98B}</author>
    <author>tc={561A3241-86BC-4780-B665-F2EF0585F49A}</author>
    <author>tc={92DE2F4F-FF31-4F37-AF3C-2232622999B3}</author>
    <author>tc={0C14AFB9-3F0D-47D2-A6B9-8416105F4AB7}</author>
    <author>tc={CCA16A6D-F957-41B2-BF15-612CF20E8B03}</author>
    <author>tc={A3DAE065-3787-44CC-BC81-D55543A33360}</author>
    <author>tc={9E8A3F93-1E73-48F4-AAE2-75B0EBA366A6}</author>
    <author>tc={A8A81233-81FD-4821-9C19-ECF007265E34}</author>
    <author>tc={2A8C268C-ED9F-43A7-B08A-61644ED25602}</author>
    <author>tc={58967E0B-0743-417F-B509-967FA4E9B6C7}</author>
    <author>tc={1E97EE8A-F873-43D3-831E-CC64959F97FB}</author>
    <author>tc={6B6D9848-3F28-4DBD-9D4A-98E7719710BC}</author>
    <author>tc={FEE4E79B-8093-455D-8F1B-B9612D2044D8}</author>
    <author>tc={6CF98485-4D93-4E92-84ED-932E68E19EAB}</author>
    <author>tc={7B23990C-101B-4D49-B56F-46A952407295}</author>
    <author>tc={183C48F3-DA67-4A76-AC85-ECDB9D308570}</author>
    <author>tc={5AFBD7F1-32BD-4484-8736-4766576AD87F}</author>
    <author>tc={7133B168-E600-451F-A406-1168703F90C1}</author>
    <author>tc={4C4F9884-42FC-4B06-A822-13F5E1A88C87}</author>
    <author>tc={FEC8E155-9A90-4621-9E38-20FFD82026AF}</author>
    <author>tc={A0336341-13E9-4F08-BE35-F85DA0EF1E0B}</author>
    <author>tc={5EBFE2B7-3C7E-472D-B963-B7720DA3A2E7}</author>
    <author>tc={47C225C1-F74A-4FF1-820D-55F29ABCD0D3}</author>
    <author>tc={C340D5D8-B903-4743-9CCD-A72BB4B9C553}</author>
    <author>tc={FFA0159B-2090-4239-B176-9F2FF4EECF39}</author>
    <author>tc={A72FC572-108B-4C68-A41A-D6490E4E710B}</author>
    <author>tc={FE84589A-6CF0-4CAE-8F06-EEDB96BB8282}</author>
    <author>tc={E8607298-C075-46B7-B799-24B8AA042E64}</author>
    <author>tc={A91BE697-A421-4A21-8767-63F73DB0B856}</author>
    <author>tc={3901925D-B7FD-45ED-87D0-C55CDC09BD7E}</author>
    <author>tc={4F92BA49-0777-4076-95B8-7609908D5866}</author>
    <author>tc={5C03298B-BB13-41AD-838E-19E5DD9B166E}</author>
    <author>tc={C0B5EBA5-E8A4-4F41-9C49-3501785CC960}</author>
    <author>tc={08CCAC9D-83D4-4F8C-AF1E-0141FEE5B311}</author>
    <author>tc={85FF5711-740B-4C15-9928-3DD1E468C822}</author>
    <author>tc={858818AA-81B9-49AF-8BB9-028C48752A57}</author>
    <author>tc={197A1AB5-7442-4D07-8CA5-425C6F157D61}</author>
    <author>tc={093D5734-D971-460C-B895-7318EB18C37A}</author>
    <author>tc={911C4C1E-FE85-4561-AE43-B67A921B6435}</author>
    <author>tc={07D31A90-C0B2-4CA3-BD7F-3333DD790128}</author>
    <author>tc={145D4053-20FB-4269-AC23-7710B9DC7232}</author>
    <author>tc={DFF3F93F-A235-4D8D-B7FF-618BD69177EA}</author>
    <author>tc={7505A2F6-CFAE-43B4-9CDF-CBD71454EC51}</author>
    <author>tc={271BAC47-C88D-4017-AD22-93E1DC09EEFC}</author>
    <author>tc={B2C3F13A-95A5-4EA3-9F69-181B3EFA5451}</author>
    <author>tc={82609858-DBC7-43E9-AF5A-2B9B9EA6BFB0}</author>
    <author>tc={836B680F-0A1E-4B12-A1EC-493C4D1A2D97}</author>
    <author>tc={AB023D68-2D0F-40CC-A243-7A388456D679}</author>
    <author>tc={A5F9F931-7F17-40B5-8A23-90360BC4B6C2}</author>
    <author>tc={FF46648A-4845-48C5-A3E3-9A77C4222D0C}</author>
    <author>tc={5DCE6385-C340-4E41-882C-CDFA094732D9}</author>
    <author>tc={EF0CE4FE-C66C-4ACF-9482-31613937E34D}</author>
    <author>tc={D4BCB5C5-068D-4279-AE3D-0F29F97210F8}</author>
    <author>tc={147BDE6F-DE76-4814-9359-64F82885B970}</author>
    <author>tc={6FD2C5E5-D9CC-417F-9362-3FC51E2E2955}</author>
    <author>tc={B9AC458D-D987-4F95-BB98-A162383FC5D5}</author>
    <author>tc={3EF4A223-BBA4-4A1F-9B93-99898EFFB95F}</author>
    <author>tc={F704D154-BE39-42BF-B5D9-1ACCAA4CBB6C}</author>
    <author>tc={7DA2CD19-BDDF-4457-8DC0-CEAE5731E645}</author>
    <author>tc={5C491835-5CED-428A-8A41-B9B41C19D9BC}</author>
    <author>tc={506711BA-5160-43CD-9429-F96026AA13FE}</author>
  </authors>
  <commentList>
    <comment ref="S2" authorId="0" shapeId="0" xr:uid="{EB72B61C-B2AC-4D1C-B254-F8583E03D732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Items in Red are overspends</t>
        </r>
      </text>
    </comment>
    <comment ref="F4" authorId="1" shapeId="0" xr:uid="{98383598-7B9D-49E7-9168-A45AA40BACB3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Figure taken from April Minutes.  Need to Cross check with April Statement (on old Bank Account).
</t>
      </text>
    </comment>
    <comment ref="G4" authorId="2" shapeId="0" xr:uid="{C726BA2B-CBA3-4AC7-BBA2-7AFFABB89769}">
      <text>
        <t>[Threaded comment]
Your version of Excel allows you to read this threaded comment; however, any edits to it will get removed if the file is opened in a newer version of Excel. Learn more: https://go.microsoft.com/fwlink/?linkid=870924
Comment:
    Clerk Wages £732.88 paid on 14/05/25.</t>
      </text>
    </comment>
    <comment ref="H4" authorId="3" shapeId="0" xr:uid="{952DC61D-19A3-4D5F-8E71-B21AC52A4FB1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Clerk’s wages of £708.16 paid on 04/06/25.</t>
      </text>
    </comment>
    <comment ref="I4" authorId="4" shapeId="0" xr:uid="{BA40BEFC-3DEE-4520-9F3D-A2A626B28800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by bank of £789.68 comprising £753.12 Pay, and mail (May £12.36, June £12.10, July, £12.10) £36.56.  This is the point at which we switch from paying in arrears to paying in advance.</t>
      </text>
    </comment>
    <comment ref="J4" authorId="5" shapeId="0" xr:uid="{56CC8D4E-AE60-4B53-9B41-96987B166A65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Paid £814.07 in total for Clerk’s wages (£803.08), Sim Card £0.99, Top Up £10.00).</t>
      </text>
    </comment>
    <comment ref="K4" authorId="6" shapeId="0" xr:uid="{2A30FFE0-79B9-4230-99B8-C55CAA761DD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Bank Payment of £877.59, consisting of £839.48 for salary and backpay, plus £26.00 for allowances (totalling £865.48), and £12.10 for email. </t>
      </text>
    </comment>
    <comment ref="L4" authorId="7" shapeId="0" xr:uid="{83108D9E-0ED8-43FD-BBB1-69327CB6F98B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£922.78 Bank Payment. consisting of Pay £746.40+£26.00 Allowance = £772.40; in same payment was £2.50 for Card, and defibrillator for £119.99.  This totals £894.89, leaving a missing item of £27.89 to be accounted for.</t>
      </text>
    </comment>
    <comment ref="M4" authorId="8" shapeId="0" xr:uid="{561A3241-86BC-4780-B665-F2EF0585F49A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06/11/25, £784.5, consisting of £772.40 for Salary and Allowances and £12.10 for Clerk's email.</t>
      </text>
    </comment>
    <comment ref="L5" authorId="0" shapeId="0" xr:uid="{B584BB5D-FC55-4066-B75C-3F0D06131E7E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Figure taken from 30 Sep Payslip was £772.40.  Reconciliation is £814.08 (presumably the difference is the allowances)</t>
        </r>
      </text>
    </comment>
    <comment ref="U5" authorId="0" shapeId="0" xr:uid="{45A88A3E-7C8E-4B0C-9B71-D06B94AE8E9A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F6" authorId="9" shapeId="0" xr:uid="{92DE2F4F-FF31-4F37-AF3C-2232622999B3}">
      <text>
        <t>[Threaded comment]
Your version of Excel allows you to read this threaded comment; however, any edits to it will get removed if the file is opened in a newer version of Excel. Learn more: https://go.microsoft.com/fwlink/?linkid=870924
Comment:
    Figure taken from April Minutes.  Need to Cross check with April Statement (on old Bank Account).</t>
      </text>
    </comment>
    <comment ref="I6" authorId="10" shapeId="0" xr:uid="{0C14AFB9-3F0D-47D2-A6B9-8416105F4AB7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£744.73 for Employer’s PAYE NI on 09/07/25.</t>
      </text>
    </comment>
    <comment ref="L6" authorId="11" shapeId="0" xr:uid="{CCA16A6D-F957-41B2-BF15-612CF20E8B03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HMRC for Employers NI for Clerk for 3 months, paid on 08/10/25.</t>
      </text>
    </comment>
    <comment ref="U7" authorId="0" shapeId="0" xr:uid="{D9F23E7C-3DF9-4568-B46D-4E0DDE66492A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F8" authorId="0" shapeId="0" xr:uid="{7291AF63-CCA1-4705-AB3B-A09CC1E83207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Figure not explicitly noted in April minutes:  Need to Cross check with April Statement (on old Bank Account).</t>
        </r>
      </text>
    </comment>
    <comment ref="G8" authorId="12" shapeId="0" xr:uid="{A3DAE065-3787-44CC-BC81-D55543A33360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from Bank £95.59 for printer cartridges to Simon Hedges who bought them for Sheila.  No VAT Claimable. Paid on 15/05/25.</t>
      </text>
    </comment>
    <comment ref="J8" authorId="13" shapeId="0" xr:uid="{9E8A3F93-1E73-48F4-AAE2-75B0EBA366A6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from Bank £95.59 for printer cartridges to Simon Hedges who bought them for Sheila.  No VAT Claimable. Paid on 06/08/25.</t>
      </text>
    </comment>
    <comment ref="J9" authorId="14" shapeId="0" xr:uid="{A8A81233-81FD-4821-9C19-ECF007265E34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Paid £814.07 in total for Clerk’s wages (£803.08), Sim Card £0.99, Top Up £10.00).</t>
      </text>
    </comment>
    <comment ref="Q9" authorId="0" shapeId="0" xr:uid="{855548A9-8CD5-4E87-890B-C81DBE7333DB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Topup</t>
        </r>
      </text>
    </comment>
    <comment ref="I10" authorId="15" shapeId="0" xr:uid="{2A8C268C-ED9F-43A7-B08A-61644ED25602}">
      <text>
        <t>[Threaded comment]
Your version of Excel allows you to read this threaded comment; however, any edits to it will get removed if the file is opened in a newer version of Excel. Learn more: https://go.microsoft.com/fwlink/?linkid=870924
Comment:
    Payment by bank of £789.68 comprising £753.12 Pay, and mail (May £12.36, June £12.10, July, £12.10) £36.56.  This is the point at which we switch from paying in arrears to paying in advance.</t>
      </text>
    </comment>
    <comment ref="K10" authorId="16" shapeId="0" xr:uid="{58967E0B-0743-417F-B509-967FA4E9B6C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Bank Payment of £877.59, consisting of £839.48 for salary and backpay, plus £26.00 for allowances (totalling £865.48), and £12.10 for email. </t>
      </text>
    </comment>
    <comment ref="L10" authorId="0" shapeId="0" xr:uid="{B467018D-DDCF-49AC-81B2-0BF20922DD4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No payment noted in minutes or Bank Account.  Why?</t>
        </r>
      </text>
    </comment>
    <comment ref="M10" authorId="17" shapeId="0" xr:uid="{1E97EE8A-F873-43D3-831E-CC64959F97FB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06/11/25, £784.5, consisting of £772.40 for Salary and Allowances and £12.10 for Clerk's email.</t>
      </text>
    </comment>
    <comment ref="U11" authorId="0" shapeId="0" xr:uid="{2C5F27C3-68D6-4FD0-B71F-88D89845F4AD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F12" authorId="0" shapeId="0" xr:uid="{0088402F-E3E0-4A93-BC4B-6C8C55F7C0A5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Figure not explicitly noted in April minutes:  Need to Cross check with April Statement (on old Bank Account).</t>
        </r>
      </text>
    </comment>
    <comment ref="L14" authorId="0" shapeId="0" xr:uid="{8712B7D9-5B87-455E-8472-C4B97F685357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Card for Football Club
Total £922.78 Bank Payment. consisting of Pay £746.40+£26.00 Allowance = £772.40; in same payment was £2.50 for Card, and defibrillator for £119.99.  This totals £894.89, leaving a missing item of £27.89 to be accounted for.</t>
        </r>
      </text>
    </comment>
    <comment ref="U16" authorId="0" shapeId="0" xr:uid="{9792E0EF-8E77-456F-841B-A7FF1E2B9FEF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G17" authorId="18" shapeId="0" xr:uid="{6B6D9848-3F28-4DBD-9D4A-98E7719710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Debit to Unity Trust Bank for £6.00 fees on 31/05/25.</t>
      </text>
    </comment>
    <comment ref="H17" authorId="19" shapeId="0" xr:uid="{FEE4E79B-8093-455D-8F1B-B9612D2044D8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Debit to Unity Trust Bank for £6.00 fees on 30/06/25.</t>
      </text>
    </comment>
    <comment ref="I17" authorId="20" shapeId="0" xr:uid="{6CF98485-4D93-4E92-84ED-932E68E19E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Debit of Bank Fees £6.00 on 31/07/25</t>
      </text>
    </comment>
    <comment ref="J17" authorId="21" shapeId="0" xr:uid="{7B23990C-101B-4D49-B56F-46A952407295}">
      <text>
        <t>[Threaded comment]
Your version of Excel allows you to read this threaded comment; however, any edits to it will get removed if the file is opened in a newer version of Excel. Learn more: https://go.microsoft.com/fwlink/?linkid=870924
Comment:
    £6 paid by Direct Debit to Microsoft on 31/08/25.</t>
      </text>
    </comment>
    <comment ref="K17" authorId="22" shapeId="0" xr:uid="{183C48F3-DA67-4A76-AC85-ECDB9D308570}">
      <text>
        <t>[Threaded comment]
Your version of Excel allows you to read this threaded comment; however, any edits to it will get removed if the file is opened in a newer version of Excel. Learn more: https://go.microsoft.com/fwlink/?linkid=870924
Comment:
    £6 paid by Direct Debit to Microsoft on 30/09/25.</t>
      </text>
    </comment>
    <comment ref="L17" authorId="23" shapeId="0" xr:uid="{5AFBD7F1-32BD-4484-8736-4766576AD87F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£6.00 to Unity Trust  on 24/10/25.</t>
      </text>
    </comment>
    <comment ref="M17" authorId="0" shapeId="0" xr:uid="{75D5731F-32C1-4797-B15A-398574D58F92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Bank Payment due at end November 2025.</t>
        </r>
      </text>
    </comment>
    <comment ref="Q18" authorId="0" shapeId="0" xr:uid="{6D5BDDEF-D54F-4E9D-86B2-F97F17A6095C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It not clear that this is owed. Ask Ruth.</t>
        </r>
      </text>
    </comment>
    <comment ref="U20" authorId="0" shapeId="0" xr:uid="{EDC745FA-19B6-4231-9B43-DAA2C0C1890C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B21" authorId="24" shapeId="0" xr:uid="{7133B168-E600-451F-A406-1168703F90C1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H21" authorId="25" shapeId="0" xr:uid="{4C4F9884-42FC-4B06-A822-13F5E1A88C87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Debit of £47.00 for Information Commissioner on 26/05/25.</t>
      </text>
    </comment>
    <comment ref="A23" authorId="0" shapeId="0" xr:uid="{86E62016-7522-437D-9788-D2EFA88A52A8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Not sure if VAT included (hence Blue)</t>
        </r>
      </text>
    </comment>
    <comment ref="B25" authorId="26" shapeId="0" xr:uid="{FEC8E155-9A90-4621-9E38-20FFD82026AF}">
      <text>
        <t>[Threaded comment]
Your version of Excel allows you to read this threaded comment; however, any edits to it will get removed if the file is opened in a newer version of Excel. Learn more: https://go.microsoft.com/fwlink/?linkid=870924
Comment:
    SLCC - £120, ICO £40</t>
      </text>
    </comment>
    <comment ref="C25" authorId="0" shapeId="0" xr:uid="{17857214-4841-45F2-ACD8-83A89936B64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Budget for 2024/25 was £583 for DALC and £160 for the remainder, totalling £743.
</t>
        </r>
      </text>
    </comment>
    <comment ref="U25" authorId="0" shapeId="0" xr:uid="{F7E4C339-87B2-42D4-A56D-05E79553706B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Add in the £168 for DALC which is deducted by them from the Precept, and so doesn't appear in the in-year Budget, but must be added back when setting the precent.
</t>
        </r>
      </text>
    </comment>
    <comment ref="U27" authorId="0" shapeId="0" xr:uid="{10F42063-E8F3-4863-A8DF-B16090B2C717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A28" authorId="0" shapeId="0" xr:uid="{B369A1AC-0B26-4FC5-B1CD-62C74C24CAAE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Not VAT paid (hence green)</t>
        </r>
      </text>
    </comment>
    <comment ref="G28" authorId="27" shapeId="0" xr:uid="{A0336341-13E9-4F08-BE35-F85DA0EF1E0B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Zurich insurance for SPC public liability insurance £819.95 on 14/05/25.</t>
      </text>
    </comment>
    <comment ref="U29" authorId="0" shapeId="0" xr:uid="{58A69743-D97D-41A1-9990-C2A9698C6A31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I30" authorId="28" shapeId="0" xr:uid="{5EBFE2B7-3C7E-472D-B963-B7720DA3A2E7}">
      <text>
        <t>[Threaded comment]
Your version of Excel allows you to read this threaded comment; however, any edits to it will get removed if the file is opened in a newer version of Excel. Learn more: https://go.microsoft.com/fwlink/?linkid=870924
Comment:
    First 3 direct monthsworth of Direct Debit Payments £90 on 24/07/25.</t>
      </text>
    </comment>
    <comment ref="J30" authorId="29" shapeId="0" xr:uid="{47C225C1-F74A-4FF1-820D-55F29ABCD0D3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from Bank £30.00 to Westcott on 26/08/25.</t>
      </text>
    </comment>
    <comment ref="K30" authorId="30" shapeId="0" xr:uid="{C340D5D8-B903-4743-9CCD-A72BB4B9C553}">
      <text>
        <t>[Threaded comment]
Your version of Excel allows you to read this threaded comment; however, any edits to it will get removed if the file is opened in a newer version of Excel. Learn more: https://go.microsoft.com/fwlink/?linkid=870924
Comment:
    £30 paid by direct debit to Westcott on 03/09/25.</t>
      </text>
    </comment>
    <comment ref="L30" authorId="31" shapeId="0" xr:uid="{FFA0159B-2090-4239-B176-9F2FF4EECF39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£30.00 to Westcott, paid 24/10/25.</t>
      </text>
    </comment>
    <comment ref="M30" authorId="0" shapeId="0" xr:uid="{A950177C-C4E6-4433-A350-60225AD1741B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Due late November.</t>
        </r>
      </text>
    </comment>
    <comment ref="U32" authorId="0" shapeId="0" xr:uid="{5A6DD843-A058-4AD6-88DF-7F68AC4DD87F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G33" authorId="32" shapeId="0" xr:uid="{A72FC572-108B-4C68-A41A-D6490E4E710B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Penny Clapham for Internal Audit £103.00 on 14/05/25.</t>
      </text>
    </comment>
    <comment ref="U34" authorId="0" shapeId="0" xr:uid="{26EEE0A7-EDE6-43F1-BAA6-780A376E8429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J35" authorId="33" shapeId="0" xr:uid="{FE84589A-6CF0-4CAE-8F06-EEDB96BB828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Bank Payment to PKF (Auditing) of £378.00 on 06/08/25.  </t>
      </text>
    </comment>
    <comment ref="L36" authorId="0" shapeId="0" xr:uid="{3FF8C163-B939-44D4-9C0F-72FB5ABA7E23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Can vat be reclaimed for this?  If so, it would be £-63.</t>
        </r>
      </text>
    </comment>
    <comment ref="U37" authorId="0" shapeId="0" xr:uid="{40344F8E-F32C-4C25-956B-CEF6352DD707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41" authorId="0" shapeId="0" xr:uid="{4C8202B3-B458-4D78-9085-57E114D1A967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G44" authorId="34" shapeId="0" xr:uid="{E8607298-C075-46B7-B799-24B8AA042E64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Rhino Play for Repairs to Children’s Play Area £6,805.20 on 14/05/25.</t>
      </text>
    </comment>
    <comment ref="J45" authorId="35" shapeId="0" xr:uid="{A91BE697-A421-4A21-8767-63F73DB0B856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£781.68 to Evolution Skate Parks on 06/08/25.</t>
      </text>
    </comment>
    <comment ref="I46" authorId="36" shapeId="0" xr:uid="{3901925D-B7FD-45ED-87D0-C55CDC09BD7E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£13,968.00 to White Rose Tarmacadam for Skate Park resurfacing on 09/07/25.</t>
      </text>
    </comment>
    <comment ref="M49" authorId="37" shapeId="0" xr:uid="{4F92BA49-0777-4076-95B8-7609908D5866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Silverton Community Hall £184.00 on 06/11/25.  This consisted of £140 basic, plus extra bookings for additional meeting on 25/11/25 plus training meeting.</t>
      </text>
    </comment>
    <comment ref="I50" authorId="38" shapeId="0" xr:uid="{5C03298B-BB13-41AD-838E-19E5DD9B166E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£25.00 for Silverton Room 4 U for meeting of Broad Oak Working Group.</t>
      </text>
    </comment>
    <comment ref="U51" authorId="0" shapeId="0" xr:uid="{D5C5F179-1166-45A1-9192-A9BEB0FC7D24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J55" authorId="39" shapeId="0" xr:uid="{C0B5EBA5-E8A4-4F41-9C49-3501785CC960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£980.40 to Smith of Derby for Clock annual maintenance paid on 06/08/24.</t>
      </text>
    </comment>
    <comment ref="U57" authorId="0" shapeId="0" xr:uid="{045AABE7-C4FE-4A9C-9244-D50879606AA9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59" authorId="0" shapeId="0" xr:uid="{917DC9BE-3C2D-4A28-8301-796E9CC0535F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61" authorId="0" shapeId="0" xr:uid="{78E434BB-E18F-4736-AC0E-9B6E1F13C685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63" authorId="0" shapeId="0" xr:uid="{ED3D971D-86D7-4E12-A5C0-3AB03A99DF0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I64" authorId="40" shapeId="0" xr:uid="{08CCAC9D-83D4-4F8C-AF1E-0141FEE5B311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donation of £500.00 to Silverton Street Market on 09/07/25.</t>
      </text>
    </comment>
    <comment ref="U65" authorId="0" shapeId="0" xr:uid="{675A7C66-09A1-415D-83A7-9B2F63FA8D14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67" authorId="0" shapeId="0" xr:uid="{6582BBA5-7388-4335-9AD6-90AACC86F48E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70" authorId="0" shapeId="0" xr:uid="{F4B5733F-53DA-44B3-86A0-0D6E183F8A1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A71" authorId="0" shapeId="0" xr:uid="{1B8D9721-C938-4F11-8CA3-A67A14004949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VAT at 5%.  May ignore?</t>
        </r>
      </text>
    </comment>
    <comment ref="F71" authorId="0" shapeId="0" xr:uid="{09E79A4C-E564-47EE-A062-8913F351570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Figure not explicitly noted in April minutes:  Need to Cross check with April Statement (on old Bank Account).</t>
        </r>
      </text>
    </comment>
    <comment ref="G71" authorId="41" shapeId="0" xr:uid="{85FF5711-740B-4C15-9928-3DD1E468C822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£17.64 for DAAT floodlights on 14/05/24.</t>
      </text>
    </comment>
    <comment ref="J71" authorId="42" shapeId="0" xr:uid="{858818AA-81B9-49AF-8BB9-028C48752A57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from Bank to Eon £54.23 on 06/08/25.</t>
      </text>
    </comment>
    <comment ref="F77" authorId="0" shapeId="0" xr:uid="{14DDBFC6-C95E-47C7-B70C-619F6FD7F302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Figure not explicitly noted in April minutes:  Need to Cross check with April Statement (on old Bank Account).</t>
        </r>
      </text>
    </comment>
    <comment ref="G77" authorId="43" shapeId="0" xr:uid="{197A1AB5-7442-4D07-8CA5-425C6F157D61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£625.00 to Denis Marsden Handyman for routine work on 14/05/25.</t>
      </text>
    </comment>
    <comment ref="H77" authorId="44" shapeId="0" xr:uid="{093D5734-D971-460C-B895-7318EB18C37A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for Denis Marsden, Handyman of £625 on 04/06/25.</t>
      </text>
    </comment>
    <comment ref="I77" authorId="45" shapeId="0" xr:uid="{911C4C1E-FE85-4561-AE43-B67A921B6435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£650 to Denis Marsden for routine Handyman work on 09/07/25.  Payments this month and onwards increase from £625 to £650 as he now keeps down weeds on the pond site and the church road bank.</t>
      </text>
    </comment>
    <comment ref="J77" authorId="46" shapeId="0" xr:uid="{07D31A90-C0B2-4CA3-BD7F-3333DD790128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£650.00 to Denis Marsden for routine handyman work on 06/08/25.</t>
      </text>
    </comment>
    <comment ref="K77" authorId="47" shapeId="0" xr:uid="{145D4053-20FB-4269-AC23-7710B9DC7232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£675.00 consisting of £650 routine work, plus £25.00 ad hoc to replace damaged slab in Big Rec, paid on 03/09/25.</t>
      </text>
    </comment>
    <comment ref="L77" authorId="48" shapeId="0" xr:uid="{DFF3F93F-A235-4D8D-B7FF-618BD69177EA}">
      <text>
        <t>[Threaded comment]
Your version of Excel allows you to read this threaded comment; however, any edits to it will get removed if the file is opened in a newer version of Excel. Learn more: https://go.microsoft.com/fwlink/?linkid=870924
Comment:
    £650.00 paid to Denis Marsden on 08/10/25.</t>
      </text>
    </comment>
    <comment ref="M77" authorId="49" shapeId="0" xr:uid="{7505A2F6-CFAE-43B4-9CDF-CBD71454EC51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£650.00 to Denis Marsden on 06/11/25.</t>
      </text>
    </comment>
    <comment ref="U78" authorId="0" shapeId="0" xr:uid="{6713F7B4-E77D-4398-B5E8-8F99AED93E3A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J79" authorId="50" shapeId="0" xr:uid="{271BAC47-C88D-4017-AD22-93E1DC09EEFC}">
      <text>
        <t>[Threaded comment]
Your version of Excel allows you to read this threaded comment; however, any edits to it will get removed if the file is opened in a newer version of Excel. Learn more: https://go.microsoft.com/fwlink/?linkid=870924
Comment:
    Paid £300 from Bank to Denis for Seats on little Rec on 06/08/25.</t>
      </text>
    </comment>
    <comment ref="K79" authorId="51" shapeId="0" xr:uid="{B2C3F13A-95A5-4EA3-9F69-181B3EFA5451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£675.00 consisting of £650 routine work, plus £25.00 ad hoc to replace damaged slab in Big Rec, paid on 03/09/25.</t>
      </text>
    </comment>
    <comment ref="N79" authorId="0" shapeId="0" xr:uid="{517CAD31-663F-4B6D-9E7A-8EC8B262CC22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What is this for?</t>
        </r>
      </text>
    </comment>
    <comment ref="M80" authorId="52" shapeId="0" xr:uid="{82609858-DBC7-43E9-AF5A-2B9B9EA6BFB0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06/11/25 to Stephen Land for clearing the Cobbled Path.</t>
      </text>
    </comment>
    <comment ref="U81" authorId="0" shapeId="0" xr:uid="{07C3B4CC-8B63-4E1D-8662-98858E1A7FDB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J82" authorId="0" shapeId="0" xr:uid="{4461C353-CD1D-4BA5-AFEE-E335AAA1B86D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Seats in Little Rec - Installation</t>
        </r>
      </text>
    </comment>
    <comment ref="G84" authorId="53" shapeId="0" xr:uid="{836B680F-0A1E-4B12-A1EC-493C4D1A2D97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to Parsons for April and May cutting £2,016.44 on 14/05/25.</t>
      </text>
    </comment>
    <comment ref="I84" authorId="54" shapeId="0" xr:uid="{AB023D68-2D0F-40CC-A243-7A388456D679}">
      <text>
        <t>[Threaded comment]
Your version of Excel allows you to read this threaded comment; however, any edits to it will get removed if the file is opened in a newer version of Excel. Learn more: https://go.microsoft.com/fwlink/?linkid=870924
Comment:
    2 Bank Payments for June and July Invoices £1,337.93+£1,196.40 totalling £2543.33, both paid on 09/07/25.</t>
      </text>
    </comment>
    <comment ref="J84" authorId="55" shapeId="0" xr:uid="{A5F9F931-7F17-40B5-8A23-90360BC4B6C2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Paid £944.81 to Parsons on 06/08/25.</t>
      </text>
    </comment>
    <comment ref="L84" authorId="56" shapeId="0" xr:uid="{FF46648A-4845-48C5-A3E3-9A77C4222D0C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£1196.40 on 8th October.</t>
      </text>
    </comment>
    <comment ref="M84" authorId="57" shapeId="0" xr:uid="{5DCE6385-C340-4E41-882C-CDFA094732D9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£944.81 on 25/11/25 to Parsons.</t>
      </text>
    </comment>
    <comment ref="R86" authorId="0" shapeId="0" xr:uid="{8C366C1F-C258-430B-B2CC-7405B55E5E9C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Quote was for £7246, plus VAT.</t>
        </r>
      </text>
    </comment>
    <comment ref="U86" authorId="0" shapeId="0" xr:uid="{685CA878-CC94-4C23-9938-436217144DF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U88" authorId="0" shapeId="0" xr:uid="{C1328E8A-7E9D-4EA9-865D-4EC5B1DC9062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J89" authorId="58" shapeId="0" xr:uid="{EF0CE4FE-C66C-4ACF-9482-31613937E34D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£1,324.80 for safety inspection on 06/08/25.</t>
      </text>
    </comment>
    <comment ref="L90" authorId="0" shapeId="0" xr:uid="{11F1850E-FCA0-48FD-991E-43320BC4319B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Does this item attract VAT.</t>
        </r>
      </text>
    </comment>
    <comment ref="U91" authorId="0" shapeId="0" xr:uid="{A089670B-8E2F-4A92-9D06-ECE2F615DED0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G96" authorId="59" shapeId="0" xr:uid="{D4BCB5C5-068D-4279-AE3D-0F29F97210F8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£3,250.00 to Silverton Evangelical Church for Youth Worker £3,250.00 on 14/05/25.</t>
      </text>
    </comment>
    <comment ref="U96" authorId="0" shapeId="0" xr:uid="{3805238E-74A2-4F7A-A905-5A965E86F8D4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12 months of £772 plus inflation rate in cell W2
</t>
        </r>
      </text>
    </comment>
    <comment ref="B100" authorId="60" shapeId="0" xr:uid="{147BDE6F-DE76-4814-9359-64F82885B970}">
      <text>
        <t>[Threaded comment]
Your version of Excel allows you to read this threaded comment; however, any edits to it will get removed if the file is opened in a newer version of Excel. Learn more: https://go.microsoft.com/fwlink/?linkid=870924
Comment:
    Lime Avenue Regeneration, other Tree Planting  and Maintenance</t>
      </text>
    </comment>
    <comment ref="G100" authorId="61" shapeId="0" xr:uid="{6FD2C5E5-D9CC-417F-9362-3FC51E2E2955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£924.00 to Hi Line for Berry Tree Risk Assessment (£504.00) and Big Rec Tree Assessment (£420) on 14/05/25.</t>
      </text>
    </comment>
    <comment ref="G101" authorId="62" shapeId="0" xr:uid="{B9AC458D-D987-4F95-BB98-A162383FC5D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Bank Payment of £924.00 to Hi Line for Berry Tree Risk Assessment (£504.00) and Big Rec Tree Assessment (£420) on 14/05/25.
</t>
      </text>
    </comment>
    <comment ref="B107" authorId="63" shapeId="0" xr:uid="{3EF4A223-BBA4-4A1F-9B93-99898EFFB95F}">
      <text>
        <t>[Threaded comment]
Your version of Excel allows you to read this threaded comment; however, any edits to it will get removed if the file is opened in a newer version of Excel. Learn more: https://go.microsoft.com/fwlink/?linkid=870924
Comment:
    Fire Station, Bus Shelters, Gazebo, Tennis Hut, War Memorial, Additional Traffic Signs and Lighting, Flagpole (via RBL), Equipment other than on Big Rec.  To be reviewed in 25/26 - consider splitting into other funds.</t>
      </text>
    </comment>
    <comment ref="G107" authorId="64" shapeId="0" xr:uid="{F704D154-BE39-42BF-B5D9-1ACCAA4CBB6C}">
      <text>
        <t>[Threaded comment]
Your version of Excel allows you to read this threaded comment; however, any edits to it will get removed if the file is opened in a newer version of Excel. Learn more: https://go.microsoft.com/fwlink/?linkid=870924
Comment:
    Bank Payment of £200.00 to Paul Gawen for Bus Shelter roof leak fix on 14/05/25.</t>
      </text>
    </comment>
    <comment ref="O108" authorId="0" shapeId="0" xr:uid="{4746029E-FC3A-4C97-AB81-C7A0C019D87E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Improve noticeboard by Little Rec</t>
        </r>
      </text>
    </comment>
    <comment ref="N109" authorId="0" shapeId="0" xr:uid="{9C971F12-8BFC-4F42-8CB6-EFEF7297E365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Buy Bench from Amazon.  VAT applies.</t>
        </r>
      </text>
    </comment>
    <comment ref="O109" authorId="0" shapeId="0" xr:uid="{B0D6B583-1037-4BFC-8965-B5CC2FFD6D87}">
      <text>
        <r>
          <rPr>
            <sz val="9"/>
            <color indexed="81"/>
            <rFont val="Tahoma"/>
            <family val="2"/>
          </rPr>
          <t xml:space="preserve">Install Bench
</t>
        </r>
      </text>
    </comment>
    <comment ref="A110" authorId="0" shapeId="0" xr:uid="{DC912993-9631-4A3D-B929-3AFAE460FCB5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No invoice made out to PC, so can't reclaim VAT</t>
        </r>
      </text>
    </comment>
    <comment ref="F110" authorId="0" shapeId="0" xr:uid="{3678340F-5433-4CFF-B099-D79AD15E2AC4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Figure not explicitly noted in April minutes:  Need to Cross check with April Statement (on old Bank Account).</t>
        </r>
      </text>
    </comment>
    <comment ref="A111" authorId="0" shapeId="0" xr:uid="{BB5E19A2-1FCD-4E27-9331-9B6D17F5CF68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No invoice made out to PC, so can't reclaim VAT</t>
        </r>
      </text>
    </comment>
    <comment ref="L111" authorId="65" shapeId="0" xr:uid="{7DA2CD19-BDDF-4457-8DC0-CEAE5731E6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 £922.78 Bank Payment. consisting of Pay £746.40+£26.00 Allowance = £772.40; in same payment was £2.50 for Card, and defibrillator for £119.99.  This totals £894.89, leaving a missing item of £27.89 to be accounted for.
</t>
      </text>
    </comment>
    <comment ref="L116" authorId="0" shapeId="0" xr:uid="{D5192C98-C5FB-4361-82CF-42C490828CF9}">
      <text>
        <r>
          <rPr>
            <b/>
            <sz val="9"/>
            <color indexed="81"/>
            <rFont val="Tahoma"/>
            <charset val="1"/>
          </rPr>
          <t>Simon Hedges:</t>
        </r>
        <r>
          <rPr>
            <sz val="9"/>
            <color indexed="81"/>
            <rFont val="Tahoma"/>
            <charset val="1"/>
          </rPr>
          <t xml:space="preserve">
Total Refund Payment in October 2025 was £5,166.89.</t>
        </r>
      </text>
    </comment>
    <comment ref="L122" authorId="0" shapeId="0" xr:uid="{28A5A158-C0F2-4CB7-B274-D089082B4D23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Potential Overpayment.  Being checked with Sheila.</t>
        </r>
      </text>
    </comment>
    <comment ref="F133" authorId="66" shapeId="0" xr:uid="{5C491835-5CED-428A-8A41-B9B41C19D9BC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early in financial year.  Exact Date not known.</t>
      </text>
    </comment>
    <comment ref="L133" authorId="67" shapeId="0" xr:uid="{506711BA-5160-43CD-9429-F96026AA13FE}">
      <text>
        <t>[Threaded comment]
Your version of Excel allows you to read this threaded comment; however, any edits to it will get removed if the file is opened in a newer version of Excel. Learn more: https://go.microsoft.com/fwlink/?linkid=870924
Comment:
    Received 06/10/25</t>
      </text>
    </comment>
    <comment ref="L142" authorId="0" shapeId="0" xr:uid="{A6486867-7EF9-4FB6-8D8A-B27902A0812F}">
      <text>
        <r>
          <rPr>
            <b/>
            <sz val="9"/>
            <color indexed="81"/>
            <rFont val="Tahoma"/>
            <family val="2"/>
          </rPr>
          <t>Simon Hedges:</t>
        </r>
        <r>
          <rPr>
            <sz val="9"/>
            <color indexed="81"/>
            <rFont val="Tahoma"/>
            <family val="2"/>
          </rPr>
          <t xml:space="preserve">
Confirmed  as £ 54,760 and £68.05 from here https://www.middevon.gov.uk/residents/council-tax/council-tax-bandings-and-how-your-tax-is-spent/charges-for-202526/parish-precepts-202526/</t>
        </r>
      </text>
    </comment>
  </commentList>
</comments>
</file>

<file path=xl/sharedStrings.xml><?xml version="1.0" encoding="utf-8"?>
<sst xmlns="http://schemas.openxmlformats.org/spreadsheetml/2006/main" count="860" uniqueCount="391">
  <si>
    <t>Clerk's PAYE/NI</t>
  </si>
  <si>
    <t>Clerk's expenses</t>
  </si>
  <si>
    <t>Contractor</t>
  </si>
  <si>
    <t>Contractor - repairs and maintenance</t>
  </si>
  <si>
    <t>Insurance</t>
  </si>
  <si>
    <t>Churchyard grant</t>
  </si>
  <si>
    <t>Training</t>
  </si>
  <si>
    <t>Clock winding</t>
  </si>
  <si>
    <t>Internal Auditor's fee</t>
  </si>
  <si>
    <t>Election contingencies</t>
  </si>
  <si>
    <t>Newsletter contribution</t>
  </si>
  <si>
    <t>MDDC - safety inspection re play equipment</t>
  </si>
  <si>
    <t xml:space="preserve">Thomas Westcott - Accountant's fee </t>
  </si>
  <si>
    <t xml:space="preserve">RBL - Wreath - remembrance day </t>
  </si>
  <si>
    <t>Clerk's salary</t>
  </si>
  <si>
    <t>Christmas tree/celebration</t>
  </si>
  <si>
    <t>Annual Clock Maintenance</t>
  </si>
  <si>
    <t>Replacement defib pads</t>
  </si>
  <si>
    <r>
      <t>Annual subs (</t>
    </r>
    <r>
      <rPr>
        <sz val="10"/>
        <rFont val="Arial"/>
        <family val="2"/>
      </rPr>
      <t>SLCC , LCPS + Info Commissioner )</t>
    </r>
  </si>
  <si>
    <t>email and website</t>
  </si>
  <si>
    <t>Street Market contribution</t>
  </si>
  <si>
    <t>Noticeboard @ Ellerhayes</t>
  </si>
  <si>
    <t>Grass Cutting (Parsons Landscapes)</t>
  </si>
  <si>
    <t>E-on Next - electricity to Air Ambulance site)</t>
  </si>
  <si>
    <t>Big Park Equiptment/Repair Fund</t>
  </si>
  <si>
    <t>.</t>
  </si>
  <si>
    <t>Community Hall Rent</t>
  </si>
  <si>
    <t>Community Fund</t>
  </si>
  <si>
    <t>Tree Maintenance Fund</t>
  </si>
  <si>
    <t>General Reserves Fund</t>
  </si>
  <si>
    <t>Equipment and buildings Fund)</t>
  </si>
  <si>
    <t>Plus:</t>
  </si>
  <si>
    <t>Land Trust Forum</t>
  </si>
  <si>
    <t xml:space="preserve">Neighbourhood Plan /Community </t>
  </si>
  <si>
    <t>Budgeted for</t>
  </si>
  <si>
    <t xml:space="preserve">Actual spend to </t>
  </si>
  <si>
    <t>External Audit fee</t>
  </si>
  <si>
    <t>* see note below</t>
  </si>
  <si>
    <t>* see not below</t>
  </si>
  <si>
    <t>Grant towards Social Worker</t>
  </si>
  <si>
    <t>Payment to Teign Trees re removal of dead tree</t>
  </si>
  <si>
    <t>To Broad Oak Working Group</t>
  </si>
  <si>
    <t>in New Barn Lane</t>
  </si>
  <si>
    <t>Exonia Scaffolding = £450.00</t>
  </si>
  <si>
    <t>F Barclay - digger operator = £400.00</t>
  </si>
  <si>
    <t>Scott Stuthers - saw mill + operator = £2,572.50</t>
  </si>
  <si>
    <t>D Wright - stock sheets = £240.00</t>
  </si>
  <si>
    <t>L Adams - haulage services = £522.50</t>
  </si>
  <si>
    <r>
      <t xml:space="preserve">Total expenditure to date: £4,187,58 </t>
    </r>
    <r>
      <rPr>
        <b/>
        <sz val="11"/>
        <color rgb="FF00B050"/>
        <rFont val="Arial"/>
        <family val="2"/>
      </rPr>
      <t>leaving a balance of £812.42 available</t>
    </r>
  </si>
  <si>
    <t xml:space="preserve">J Squire - stake and base for Queen's Platinum Jub. Tree in </t>
  </si>
  <si>
    <t xml:space="preserve">Recreation Field = </t>
  </si>
  <si>
    <t>NOTE:</t>
  </si>
  <si>
    <t>Items shown with an asterick were included in the Clerk's Expenses</t>
  </si>
  <si>
    <t>(D  Wright - Saw blades = £24,58</t>
  </si>
  <si>
    <t>Grant to Silverton Football Club</t>
  </si>
  <si>
    <t>(Skatepark Annual Insp)</t>
  </si>
  <si>
    <t>Cost of the Ellerhayes Noticeboard was £332.00</t>
  </si>
  <si>
    <t xml:space="preserve">(Information Commissioner annual fee = £40.00 </t>
  </si>
  <si>
    <t>Annual cost of the website Domain Name = £28.78</t>
  </si>
  <si>
    <t>Monthly Microsoft payment = £12.36)</t>
  </si>
  <si>
    <t>Total spend to date;</t>
  </si>
  <si>
    <t>31.12.2024</t>
  </si>
  <si>
    <t>2025/26</t>
  </si>
  <si>
    <t>2024/2025</t>
  </si>
  <si>
    <t>Receipts received during financial year 2-24/2025</t>
  </si>
  <si>
    <t>Precept</t>
  </si>
  <si>
    <t>VAT return</t>
  </si>
  <si>
    <t>SWW - wayleave</t>
  </si>
  <si>
    <t>D Marsden - refund of payment re Harris Fencing</t>
  </si>
  <si>
    <t>Draft Updated Anticipated Expenditure to 30/11/24</t>
  </si>
  <si>
    <t>Bank balance as at 31 December 2024</t>
  </si>
  <si>
    <t>Nat West current account</t>
  </si>
  <si>
    <t>Less o/s cheques:</t>
  </si>
  <si>
    <t>January invoices</t>
  </si>
  <si>
    <t>Chq 002856- RBL - donation re wreath</t>
  </si>
  <si>
    <t>Anticipated expenditure to 31.3.2025</t>
  </si>
  <si>
    <t>Handyman</t>
  </si>
  <si>
    <t>St Mary's Church - contrib to Newsletter</t>
  </si>
  <si>
    <t>St Mary's Church - Churchyard grant</t>
  </si>
  <si>
    <t>Community Hall rent</t>
  </si>
  <si>
    <t>Soc Local Council Clerks annual sub</t>
  </si>
  <si>
    <t>Set up fee to Unity Trust Bank</t>
  </si>
  <si>
    <t>"Pedestrian" signs for Upexe Road</t>
  </si>
  <si>
    <t>Removal of leavings at Pond Site</t>
  </si>
  <si>
    <t>Unknown costs to 31.3.2025</t>
  </si>
  <si>
    <t>Poles for pedestrian signs in Upexe Road</t>
  </si>
  <si>
    <t>Repairs to ggate in Children's Play area</t>
  </si>
  <si>
    <t>Notice for Children's Play Area</t>
  </si>
  <si>
    <t>Poss expenses re Road Warden Scheme</t>
  </si>
  <si>
    <t>Skatepark resurfaconmg</t>
  </si>
  <si>
    <t>Notes</t>
  </si>
  <si>
    <t>CPI Inflation to Dec 24 is 4.1%</t>
  </si>
  <si>
    <t>Items shown with an asterisk were included in the Clerk's Expenses</t>
  </si>
  <si>
    <t>Payment to Teign Trees re removal of dead tree in New Barn Lane</t>
  </si>
  <si>
    <t>2024/25 Budget</t>
  </si>
  <si>
    <t>Spend to End Dec 24</t>
  </si>
  <si>
    <t>2024/25</t>
  </si>
  <si>
    <t>Fcast Jan-Mar 25</t>
  </si>
  <si>
    <t>Proposed Budget</t>
  </si>
  <si>
    <t>Spend</t>
  </si>
  <si>
    <t xml:space="preserve">Budget </t>
  </si>
  <si>
    <t>Unity Trust Bank Setup Fee, and ongoing fees</t>
  </si>
  <si>
    <t>What are the ongoing fees for next year?</t>
  </si>
  <si>
    <t>Have included against "Contractor" in forecast sheet.</t>
  </si>
  <si>
    <t>Where should this go in the Forecast Spend sheet?</t>
  </si>
  <si>
    <t>Plus Print cost of £258, added into Spend Sheet by Simon</t>
  </si>
  <si>
    <t>Monthly Microsoft payment @ £12.36)</t>
  </si>
  <si>
    <t>Funding Required for 2025/26</t>
  </si>
  <si>
    <t>Budget for 2025/26, including reserve funds</t>
  </si>
  <si>
    <t>Forecast Unspent Balance carried forward from 2024/25</t>
  </si>
  <si>
    <t>Outstanding Anticipated Expenditure to end Mar 25</t>
  </si>
  <si>
    <t>Fcast for all 24/25</t>
  </si>
  <si>
    <t>Moved to NP fund from 2025/26</t>
  </si>
  <si>
    <t>Take on more to fund Pond Site and Church Road, plus more leat stuff?</t>
  </si>
  <si>
    <t>Possibly increase the NP Implementation Fund and reduce other funds.</t>
  </si>
  <si>
    <t>24/25</t>
  </si>
  <si>
    <t>Devon Average</t>
  </si>
  <si>
    <t>Silverton</t>
  </si>
  <si>
    <t>That was a 13% increase on the previous year</t>
  </si>
  <si>
    <t>Silverton Total</t>
  </si>
  <si>
    <t>Thorverton</t>
  </si>
  <si>
    <t>Bickleigh</t>
  </si>
  <si>
    <t>Band D</t>
  </si>
  <si>
    <t xml:space="preserve">Bradninch </t>
  </si>
  <si>
    <t xml:space="preserve">Cullompton </t>
  </si>
  <si>
    <t>Tiverton</t>
  </si>
  <si>
    <t>Total</t>
  </si>
  <si>
    <t>Band D Est</t>
  </si>
  <si>
    <t>Band D Other Parishes 24/25</t>
  </si>
  <si>
    <t>Big Rec Equipment/Repair / Improvement Fund</t>
  </si>
  <si>
    <t>Change against Budget</t>
  </si>
  <si>
    <t>Change 24/25 vs 25/26</t>
  </si>
  <si>
    <t>What about Clerk's NI? All paid for current year</t>
  </si>
  <si>
    <t>Handyman - standard maintenance</t>
  </si>
  <si>
    <t>Handyman - ad hoc work</t>
  </si>
  <si>
    <t>Legal advice, Training, etc</t>
  </si>
  <si>
    <t>Devon Association of Local Councils Sub (new for 25/26)</t>
  </si>
  <si>
    <t>Not this year.  £582 for next year.</t>
  </si>
  <si>
    <t>Weed removal in Church Road by Handyman</t>
  </si>
  <si>
    <t>Traffic Issues</t>
  </si>
  <si>
    <t>After DCC contribution</t>
  </si>
  <si>
    <t>Clerk's Employers PAYE/NI</t>
  </si>
  <si>
    <t>Increase Employers' NI estimated at £500 (15%, from a lower threshold of £5,000)</t>
  </si>
  <si>
    <t>Handyman Routine Work</t>
  </si>
  <si>
    <t>Public Liability Insurance for Parish Council</t>
  </si>
  <si>
    <t>2024/25 - no queries raised so lower spend than usual in 24/25.</t>
  </si>
  <si>
    <t>Churchyard grant Grass Cutting</t>
  </si>
  <si>
    <t>In future, pay early in FY.</t>
  </si>
  <si>
    <t>Consider during 24/26</t>
  </si>
  <si>
    <t>Training for Councillors/Clerk (primarily DALC)</t>
  </si>
  <si>
    <t>Clock Annual Maintenance</t>
  </si>
  <si>
    <t>Overestimate for 24/25, but published £1k gross increase for 25/26.  Also budget included NI which is now split out. Assume 5% increase for 2025/26</t>
  </si>
  <si>
    <t>In case of a  contested election</t>
  </si>
  <si>
    <t xml:space="preserve">Parish Council Election contingency </t>
  </si>
  <si>
    <t>Silverleigh Newsletter contribution</t>
  </si>
  <si>
    <t>CLT Forum</t>
  </si>
  <si>
    <t>1 Set of Pads costs £70</t>
  </si>
  <si>
    <t>Email and website (for 2025/26 add in online share storage for Group)</t>
  </si>
  <si>
    <t>Skate Park resurfacing in 2025/26</t>
  </si>
  <si>
    <t>Mid Devon pricing expected to increase above inflation</t>
  </si>
  <si>
    <t>In future, pay earlier in FY.</t>
  </si>
  <si>
    <t>Increase to 2.5 hours per meeting to allow for setup and shutdown for meeting</t>
  </si>
  <si>
    <t>J Squire - stake and base for Queen's Platinum Jub. Tree in Rec field</t>
  </si>
  <si>
    <t>Comments</t>
  </si>
  <si>
    <t xml:space="preserve"> (D  Wright - Saw blades = £24,58</t>
  </si>
  <si>
    <t xml:space="preserve"> Exonia Scaffolding = £450.00</t>
  </si>
  <si>
    <t xml:space="preserve"> F Barclay - digger operator = £400.00</t>
  </si>
  <si>
    <t>Notes for Parish Clerk</t>
  </si>
  <si>
    <t>Receipts received during financial year 2024/2025</t>
  </si>
  <si>
    <t>Precept 2024/25</t>
  </si>
  <si>
    <t>Total Precept</t>
  </si>
  <si>
    <t>Proposed 2025/26 Precept Calculation</t>
  </si>
  <si>
    <t>Change %</t>
  </si>
  <si>
    <t>Precept Changes from 2024/25 to 2025/26</t>
  </si>
  <si>
    <t>F4.  Equipment and Buildings Fund</t>
  </si>
  <si>
    <t>F2. Community Fund</t>
  </si>
  <si>
    <t>F1. Routine Activities Fund</t>
  </si>
  <si>
    <t>Routine Activities Fund Total</t>
  </si>
  <si>
    <t>Spend Included with Clerk's Expenses for 2024/25</t>
  </si>
  <si>
    <t>(for 25/26 these will be recorded against relevant individual budgets)</t>
  </si>
  <si>
    <t>Includes CLT support, Green Group, Legal fees for obtaining land and getting agreements to use, potential future land purchase.</t>
  </si>
  <si>
    <t>Grand Totals for Funds F1-F6</t>
  </si>
  <si>
    <t>Section 1 - Funds</t>
  </si>
  <si>
    <t xml:space="preserve">Section 2 - Precept </t>
  </si>
  <si>
    <t>2024/25 Siliverton Parish Council Budget, Spend and Forecast; Also proposed 2025/26 Budget/Precept</t>
  </si>
  <si>
    <t>One off.  Spend included with Parish Clerk's expenses</t>
  </si>
  <si>
    <t>Remove LCPS for 2025/26, as we have no used it.  Spend in Parish Clerk's expenses</t>
  </si>
  <si>
    <t>Spend includes  email, items but next year will be limited only to the Parish Clerk's genuine expenses</t>
  </si>
  <si>
    <t>Spend included in Parish Clerk's expenses.</t>
  </si>
  <si>
    <t>Details charges to be clarified, as we start using the account.</t>
  </si>
  <si>
    <t>Clerk's Salary payrise backpay for 24/25</t>
  </si>
  <si>
    <t>Does not apply to 25/26</t>
  </si>
  <si>
    <t>Broad Oak Working Group Total</t>
  </si>
  <si>
    <t>F6.  Neighbourhood Plan Implementation Fund (new for 25/26)</t>
  </si>
  <si>
    <t>F3.  Tree Maintenance Fund (incl Lime Avenue Regeneration</t>
  </si>
  <si>
    <t>More Community Activity from 25/26, e.g. Volunteering stall at fair, IT to encourage volunteering, village website, online groups &amp; storage etc.</t>
  </si>
  <si>
    <t>£3250 for Youth Worker in 25/26</t>
  </si>
  <si>
    <t>F5.  General Reserves Fund and Contingency</t>
  </si>
  <si>
    <t>Misc</t>
  </si>
  <si>
    <t>F1.10</t>
  </si>
  <si>
    <t>F1.11</t>
  </si>
  <si>
    <t>F1.13</t>
  </si>
  <si>
    <t>F1.14</t>
  </si>
  <si>
    <t>F1.15</t>
  </si>
  <si>
    <t>F1.16</t>
  </si>
  <si>
    <t>F1.17</t>
  </si>
  <si>
    <t>F1.18</t>
  </si>
  <si>
    <t>F1.19</t>
  </si>
  <si>
    <t>F1.20</t>
  </si>
  <si>
    <t>F1.21</t>
  </si>
  <si>
    <t>F1.22</t>
  </si>
  <si>
    <t>F1.23</t>
  </si>
  <si>
    <t>F1.24</t>
  </si>
  <si>
    <t>F1.26</t>
  </si>
  <si>
    <t>F1.28</t>
  </si>
  <si>
    <t>F1.30</t>
  </si>
  <si>
    <t>F1.32</t>
  </si>
  <si>
    <t>F1.01</t>
  </si>
  <si>
    <t>F1.02</t>
  </si>
  <si>
    <t>F1.03</t>
  </si>
  <si>
    <t>F1.04</t>
  </si>
  <si>
    <t>F1.05</t>
  </si>
  <si>
    <t>F1.06</t>
  </si>
  <si>
    <t>F1.07</t>
  </si>
  <si>
    <t>F1.08</t>
  </si>
  <si>
    <t>F1.09</t>
  </si>
  <si>
    <t>Ref</t>
  </si>
  <si>
    <t>F2.01</t>
  </si>
  <si>
    <t>F2.02</t>
  </si>
  <si>
    <t>F3.01</t>
  </si>
  <si>
    <t>F3.02</t>
  </si>
  <si>
    <t>F3.03</t>
  </si>
  <si>
    <t>F4.01</t>
  </si>
  <si>
    <t>F5.01</t>
  </si>
  <si>
    <t>Budget</t>
  </si>
  <si>
    <t>April</t>
  </si>
  <si>
    <t>May</t>
  </si>
  <si>
    <t>Handyman Monthly Invoice</t>
  </si>
  <si>
    <t>Repairs to Bus Shelter Roof (stop leaking)</t>
  </si>
  <si>
    <t>Printer Ink</t>
  </si>
  <si>
    <t>Berry tree risk assessment</t>
  </si>
  <si>
    <t>Big Rec Risk Assessment</t>
  </si>
  <si>
    <t>Total F1</t>
  </si>
  <si>
    <t>Big Rec Play Area - Repairs by Rhino Play</t>
  </si>
  <si>
    <t>Grand Total</t>
  </si>
  <si>
    <t>UNCLASSIFIED</t>
  </si>
  <si>
    <t>Jun</t>
  </si>
  <si>
    <t>Silverton Room 4U Hire for Broad Oak Working Group</t>
  </si>
  <si>
    <t>Bic Rec Skate Park - White Rose Tarmacadam</t>
  </si>
  <si>
    <t>Internal Auditor's fee - Penny Clapham</t>
  </si>
  <si>
    <t>Aug</t>
  </si>
  <si>
    <t>Jul</t>
  </si>
  <si>
    <t>Sep</t>
  </si>
  <si>
    <t>Oct</t>
  </si>
  <si>
    <t>Nov</t>
  </si>
  <si>
    <t>Dec</t>
  </si>
  <si>
    <t>Jan</t>
  </si>
  <si>
    <t>Feb</t>
  </si>
  <si>
    <t>Mar</t>
  </si>
  <si>
    <t>ICO Direct Debit (Info Commissioner)</t>
  </si>
  <si>
    <t>MDDC Safety Inspection</t>
  </si>
  <si>
    <t>Unspent</t>
  </si>
  <si>
    <t>Add in lease costs for Little Rec (legal fees for 10 year lease).28/09/26.</t>
  </si>
  <si>
    <t>Benches on Little Rec</t>
  </si>
  <si>
    <t>Forecast</t>
  </si>
  <si>
    <t>Big Rec Play Area - ROSPA repairs</t>
  </si>
  <si>
    <t>Clerk's expenses - New Printer</t>
  </si>
  <si>
    <t>3 Feb Mins</t>
  </si>
  <si>
    <t>6 Jan Mins</t>
  </si>
  <si>
    <t>3 Mar Mins</t>
  </si>
  <si>
    <t>Clerk's wages</t>
  </si>
  <si>
    <t>Net Budget</t>
  </si>
  <si>
    <t>Only appear to have estimated for 2 months instead of 3</t>
  </si>
  <si>
    <t>Not allowed for in budget?</t>
  </si>
  <si>
    <t>Underspent</t>
  </si>
  <si>
    <t>Get invoiced earlier for 2025, so avoid the need to forecast.</t>
  </si>
  <si>
    <t>Budget Carried forward into Clock Winding in Annual Maintenance</t>
  </si>
  <si>
    <t>Clerk's expenses - Ink</t>
  </si>
  <si>
    <t>SLCC Annual Subs</t>
  </si>
  <si>
    <t>ICO Annual Subs Direct Debit (Info Commissioner)</t>
  </si>
  <si>
    <t>LCPS Annual Subs</t>
  </si>
  <si>
    <t>Admin</t>
  </si>
  <si>
    <t>Social</t>
  </si>
  <si>
    <t>Admn</t>
  </si>
  <si>
    <t>Recreation</t>
  </si>
  <si>
    <t>C/F Variation</t>
  </si>
  <si>
    <t>Clerk's wages and allowance</t>
  </si>
  <si>
    <t>Website Storage</t>
  </si>
  <si>
    <t>Unity Trust Bank Setup Fee</t>
  </si>
  <si>
    <t>Unity Trust Bank ongoing fees</t>
  </si>
  <si>
    <t>Spend/Forecast 2025/26</t>
  </si>
  <si>
    <t>Clerk's expenses - Phone</t>
  </si>
  <si>
    <t>Clock Annual Maintenance - for 2025-27</t>
  </si>
  <si>
    <t>Spend ASAP</t>
  </si>
  <si>
    <t>Evolution Skate Parks</t>
  </si>
  <si>
    <t>McAfee sub</t>
  </si>
  <si>
    <t>Check Feb Minutes</t>
  </si>
  <si>
    <t>Price Increase</t>
  </si>
  <si>
    <t>Anti-Virus (McAfee)</t>
  </si>
  <si>
    <t>Replacement defib pads (3 sets)</t>
  </si>
  <si>
    <t>Maint</t>
  </si>
  <si>
    <t>Move to non-routine area for 26/27</t>
  </si>
  <si>
    <t>Move similar items elsewhere for 2026/27</t>
  </si>
  <si>
    <t>Moved from Clerk's expenses</t>
  </si>
  <si>
    <t>Budget 2026/27</t>
  </si>
  <si>
    <t>External Audit fee (PKF)</t>
  </si>
  <si>
    <t>Paid in</t>
  </si>
  <si>
    <t>F10 Income</t>
  </si>
  <si>
    <t>F1a. Routine Activities - Admin</t>
  </si>
  <si>
    <t>Total F2</t>
  </si>
  <si>
    <t>Total F3</t>
  </si>
  <si>
    <t>Total F4</t>
  </si>
  <si>
    <t>Total F5</t>
  </si>
  <si>
    <t>Total F6</t>
  </si>
  <si>
    <t>F10 Total</t>
  </si>
  <si>
    <t>Relocated from F1.a Admin where it was in 2025/26</t>
  </si>
  <si>
    <t>Relocate section F1.c</t>
  </si>
  <si>
    <t>VAT Refund</t>
  </si>
  <si>
    <t>Under- spend to C/F</t>
  </si>
  <si>
    <t>Legal Costs (Firehouse, Berry, Little Rec)</t>
  </si>
  <si>
    <t>Precept 2025/26</t>
  </si>
  <si>
    <t>Proposed 2026/27 Precept Calculation</t>
  </si>
  <si>
    <t>Forecast Unspent Balance carried forward from 2025/26</t>
  </si>
  <si>
    <t>F6.  Parish Improvement and Neighbourhood Plan Implementation Fund (new for 25/26), Target £250k</t>
  </si>
  <si>
    <t>Sundries</t>
  </si>
  <si>
    <t>F1a.1 Clerk's salary and Allowance</t>
  </si>
  <si>
    <t>F1a2. Clerk's Employers PAYE/NI</t>
  </si>
  <si>
    <t>F1a3. Clerk's expenses</t>
  </si>
  <si>
    <t>F1a4. Email and website (for 2025/26 add in online share storage for Group)</t>
  </si>
  <si>
    <t>F1a5. Unity Trust Bank Setup Fee, and ongoing fees</t>
  </si>
  <si>
    <r>
      <t>F1a6. Annual subs (</t>
    </r>
    <r>
      <rPr>
        <sz val="10"/>
        <rFont val="Arial"/>
        <family val="2"/>
      </rPr>
      <t>SLCC , LCPS + Info Commissioner )</t>
    </r>
  </si>
  <si>
    <t>F1a7. Training for Councillors/Clerk (primarily DALC)</t>
  </si>
  <si>
    <t>F1a8. Public Liability Insurance for Parish Council</t>
  </si>
  <si>
    <t xml:space="preserve">F1a9. Thomas Westcott - Accountant's fee </t>
  </si>
  <si>
    <t>F1a10. Internal Auditor's fee</t>
  </si>
  <si>
    <t>F1a11. External Audit fee (PKF)</t>
  </si>
  <si>
    <t xml:space="preserve">F1a12. Legal Costs </t>
  </si>
  <si>
    <t>F1a13. Traffic Issues</t>
  </si>
  <si>
    <t xml:space="preserve">F1a14. Parish Council Election contingency </t>
  </si>
  <si>
    <t>F1a15. Big Rec Eqpmnt/Repair / Improvement Fund</t>
  </si>
  <si>
    <t>F1a16.Community Hall Rent</t>
  </si>
  <si>
    <t>F1b Routine Activities - Community Support</t>
  </si>
  <si>
    <t>F1b1. Clock Annual Maintenance</t>
  </si>
  <si>
    <t>F1b2. Clock winding</t>
  </si>
  <si>
    <t xml:space="preserve">F1b3. RBL - Wreath - remembrance day </t>
  </si>
  <si>
    <t>F1b4. Christmas tree/celebration</t>
  </si>
  <si>
    <t>F1b5. Street Market contribution</t>
  </si>
  <si>
    <t>F1b6. Silverleigh Newsletter contribution</t>
  </si>
  <si>
    <t>F1b7. Replacement defib pads</t>
  </si>
  <si>
    <t>F1b8. E-on Next - electricity to Air Ambulance site)</t>
  </si>
  <si>
    <t>Total F1b</t>
  </si>
  <si>
    <t>Inflation Rate:</t>
  </si>
  <si>
    <t>SYFC to refund.</t>
  </si>
  <si>
    <t>F4.  Equipment and Buildings Maintenance Fund</t>
  </si>
  <si>
    <t>F6.1 New Bus Shelter at bottom of Upexe Lane</t>
  </si>
  <si>
    <t>F6.2 Other</t>
  </si>
  <si>
    <t>VAT Refund not accounted for elsewhere</t>
  </si>
  <si>
    <t>Bank Account remaining at 03/09/24 was £14,568</t>
  </si>
  <si>
    <t>Total F1a</t>
  </si>
  <si>
    <t>F1c1. Handyman - standard maintenance</t>
  </si>
  <si>
    <t>F1c5. Churchyard grant Grass Cutting</t>
  </si>
  <si>
    <t>F1c4. Grass Cutting (Parsons Landscapes)</t>
  </si>
  <si>
    <t>F1c2. Handyman - ad hoc work</t>
  </si>
  <si>
    <t>F1c3. Handyman - ad hoc work</t>
  </si>
  <si>
    <t>F1c6. MDDC Safety Inspection</t>
  </si>
  <si>
    <t>F2a. Misc</t>
  </si>
  <si>
    <t>F2b. Grant towards Youth  Worker</t>
  </si>
  <si>
    <t>F3a. Berry tree risk assessment</t>
  </si>
  <si>
    <t>F3b. Big Rec Tree Risk Assessment</t>
  </si>
  <si>
    <t>F3c. Payment to Teign Trees re removal of dead tree in New Barn Lane</t>
  </si>
  <si>
    <t>F3z. VAT Refund</t>
  </si>
  <si>
    <t>VAT</t>
  </si>
  <si>
    <t>F4a. Repairs to Bus Shelter Roof (stop leaking)</t>
  </si>
  <si>
    <t>F4c. Replace Bench on Pond Site</t>
  </si>
  <si>
    <t>F4d. Replace/Add Benches on Little Rec</t>
  </si>
  <si>
    <t>F4e Defibrillator Case at Ellerhayes</t>
  </si>
  <si>
    <t>F10b. DCC Locality Grant for Benches</t>
  </si>
  <si>
    <t>F10a SWEB Wayleave Receipt</t>
  </si>
  <si>
    <t xml:space="preserve">F1c Routine Activities - Maintenance </t>
  </si>
  <si>
    <t>Total F1c</t>
  </si>
  <si>
    <t>Receipt of Precept Payment</t>
  </si>
  <si>
    <t>(unclear if VAT can be reclaimed)</t>
  </si>
  <si>
    <t>F10c. Misc</t>
  </si>
  <si>
    <t>Clerk's expenses - Email</t>
  </si>
  <si>
    <t>Note that the overall budget has gone up by only £286 (from £81,812 to £82,063).  This is because the carry forward this year is less than for last year.</t>
  </si>
  <si>
    <t>Other Ad Hoc Work (e.g. Stephen Land)</t>
  </si>
  <si>
    <t>Big Rec Misc Repairs 2026/7 onward</t>
  </si>
  <si>
    <t>Balance C/F at end Month on Bank Statements</t>
  </si>
  <si>
    <t>In Month Spent from Bank Statements</t>
  </si>
  <si>
    <t>VAT Refund for Pond Site Bench</t>
  </si>
  <si>
    <t>F4b. Silverton Notice Board Refurbishment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</si>
</sst>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#,##0.0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indexed="14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u/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i/>
      <sz val="12"/>
      <color rgb="FFFF0000"/>
      <name val="Arial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  <font>
      <sz val="11"/>
      <color rgb="FF00B050"/>
      <name val="Arial"/>
      <family val="2"/>
    </font>
    <font>
      <b/>
      <sz val="11"/>
      <color rgb="FF00B050"/>
      <name val="Arial"/>
      <family val="2"/>
    </font>
    <font>
      <sz val="12"/>
      <color rgb="FF00B050"/>
      <name val="Arial"/>
      <family val="2"/>
    </font>
    <font>
      <b/>
      <sz val="12"/>
      <color rgb="FF00B050"/>
      <name val="Arial"/>
      <family val="2"/>
    </font>
    <font>
      <u val="double"/>
      <sz val="11"/>
      <color rgb="FF0070C0"/>
      <name val="Arial"/>
      <family val="2"/>
    </font>
    <font>
      <u val="double"/>
      <sz val="12"/>
      <name val="Arial"/>
      <family val="2"/>
    </font>
    <font>
      <sz val="10"/>
      <color rgb="FFC00000"/>
      <name val="Arial"/>
      <family val="2"/>
    </font>
    <font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  <font>
      <sz val="8"/>
      <name val="Arial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4" fillId="0" borderId="0" applyFont="0" applyFill="0" applyBorder="0" applyAlignment="0" applyProtection="0"/>
  </cellStyleXfs>
  <cellXfs count="330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15" fillId="0" borderId="0" xfId="0" applyFont="1"/>
    <xf numFmtId="0" fontId="16" fillId="0" borderId="0" xfId="0" applyFont="1"/>
    <xf numFmtId="0" fontId="11" fillId="0" borderId="0" xfId="0" applyFont="1"/>
    <xf numFmtId="8" fontId="0" fillId="0" borderId="0" xfId="0" applyNumberFormat="1"/>
    <xf numFmtId="0" fontId="12" fillId="0" borderId="0" xfId="0" applyFont="1"/>
    <xf numFmtId="0" fontId="6" fillId="0" borderId="0" xfId="0" applyFont="1"/>
    <xf numFmtId="0" fontId="13" fillId="0" borderId="0" xfId="0" applyFont="1"/>
    <xf numFmtId="0" fontId="14" fillId="0" borderId="0" xfId="0" applyFont="1"/>
    <xf numFmtId="0" fontId="4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3" fontId="4" fillId="0" borderId="0" xfId="0" applyNumberFormat="1" applyFont="1"/>
    <xf numFmtId="4" fontId="4" fillId="0" borderId="0" xfId="0" applyNumberFormat="1" applyFont="1"/>
    <xf numFmtId="0" fontId="0" fillId="0" borderId="2" xfId="0" applyBorder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0" fillId="0" borderId="1" xfId="0" applyBorder="1"/>
    <xf numFmtId="0" fontId="27" fillId="0" borderId="0" xfId="0" applyFont="1"/>
    <xf numFmtId="0" fontId="28" fillId="0" borderId="0" xfId="0" applyFont="1"/>
    <xf numFmtId="4" fontId="0" fillId="0" borderId="2" xfId="0" applyNumberFormat="1" applyBorder="1"/>
    <xf numFmtId="4" fontId="6" fillId="0" borderId="0" xfId="0" applyNumberFormat="1" applyFont="1"/>
    <xf numFmtId="0" fontId="3" fillId="0" borderId="0" xfId="1"/>
    <xf numFmtId="0" fontId="29" fillId="0" borderId="0" xfId="1" applyFont="1"/>
    <xf numFmtId="4" fontId="3" fillId="0" borderId="0" xfId="1" applyNumberFormat="1"/>
    <xf numFmtId="0" fontId="3" fillId="0" borderId="1" xfId="1" applyBorder="1"/>
    <xf numFmtId="4" fontId="3" fillId="0" borderId="1" xfId="1" applyNumberFormat="1" applyBorder="1"/>
    <xf numFmtId="0" fontId="30" fillId="0" borderId="0" xfId="1" applyFont="1"/>
    <xf numFmtId="3" fontId="3" fillId="0" borderId="0" xfId="1" applyNumberFormat="1"/>
    <xf numFmtId="3" fontId="31" fillId="0" borderId="0" xfId="1" applyNumberFormat="1" applyFont="1"/>
    <xf numFmtId="4" fontId="31" fillId="0" borderId="0" xfId="1" applyNumberFormat="1" applyFont="1"/>
    <xf numFmtId="4" fontId="29" fillId="0" borderId="0" xfId="1" applyNumberFormat="1" applyFont="1"/>
    <xf numFmtId="0" fontId="3" fillId="2" borderId="0" xfId="1" applyFill="1"/>
    <xf numFmtId="0" fontId="3" fillId="3" borderId="0" xfId="1" applyFill="1"/>
    <xf numFmtId="3" fontId="3" fillId="3" borderId="0" xfId="1" applyNumberFormat="1" applyFill="1"/>
    <xf numFmtId="0" fontId="6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0" fillId="0" borderId="3" xfId="0" applyBorder="1"/>
    <xf numFmtId="0" fontId="2" fillId="0" borderId="0" xfId="1" applyFont="1"/>
    <xf numFmtId="0" fontId="4" fillId="0" borderId="3" xfId="0" applyFont="1" applyBorder="1"/>
    <xf numFmtId="0" fontId="1" fillId="3" borderId="0" xfId="1" applyFont="1" applyFill="1"/>
    <xf numFmtId="0" fontId="1" fillId="0" borderId="0" xfId="1" applyFont="1"/>
    <xf numFmtId="0" fontId="14" fillId="8" borderId="0" xfId="0" applyFont="1" applyFill="1" applyAlignment="1">
      <alignment vertical="top" wrapText="1"/>
    </xf>
    <xf numFmtId="0" fontId="15" fillId="8" borderId="0" xfId="0" applyFont="1" applyFill="1" applyAlignment="1">
      <alignment vertical="top" wrapText="1"/>
    </xf>
    <xf numFmtId="0" fontId="6" fillId="8" borderId="0" xfId="0" applyFont="1" applyFill="1" applyAlignment="1">
      <alignment vertical="top" wrapText="1"/>
    </xf>
    <xf numFmtId="3" fontId="6" fillId="8" borderId="0" xfId="0" applyNumberFormat="1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0" fontId="6" fillId="9" borderId="0" xfId="0" applyFont="1" applyFill="1" applyAlignment="1">
      <alignment vertical="top" wrapText="1"/>
    </xf>
    <xf numFmtId="0" fontId="15" fillId="9" borderId="0" xfId="0" applyFont="1" applyFill="1" applyAlignment="1">
      <alignment vertical="top" wrapText="1"/>
    </xf>
    <xf numFmtId="0" fontId="0" fillId="9" borderId="0" xfId="0" applyFill="1" applyAlignment="1">
      <alignment vertical="top" wrapText="1"/>
    </xf>
    <xf numFmtId="3" fontId="6" fillId="9" borderId="0" xfId="0" applyNumberFormat="1" applyFont="1" applyFill="1" applyAlignment="1">
      <alignment vertical="top" wrapText="1"/>
    </xf>
    <xf numFmtId="0" fontId="36" fillId="9" borderId="0" xfId="0" applyFont="1" applyFill="1" applyAlignment="1">
      <alignment vertical="top" wrapText="1"/>
    </xf>
    <xf numFmtId="0" fontId="10" fillId="10" borderId="6" xfId="0" applyFont="1" applyFill="1" applyBorder="1" applyAlignment="1">
      <alignment horizontal="left" vertical="top" wrapText="1"/>
    </xf>
    <xf numFmtId="8" fontId="0" fillId="10" borderId="1" xfId="0" applyNumberFormat="1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0" fillId="8" borderId="12" xfId="0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7" xfId="0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6" fillId="5" borderId="0" xfId="0" applyFont="1" applyFill="1" applyAlignment="1">
      <alignment horizontal="center" vertical="top"/>
    </xf>
    <xf numFmtId="3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0" fillId="8" borderId="0" xfId="0" applyFill="1" applyAlignment="1">
      <alignment vertical="top"/>
    </xf>
    <xf numFmtId="0" fontId="10" fillId="10" borderId="0" xfId="0" applyFont="1" applyFill="1" applyAlignment="1">
      <alignment vertical="top"/>
    </xf>
    <xf numFmtId="0" fontId="0" fillId="10" borderId="0" xfId="0" applyFill="1" applyAlignment="1">
      <alignment vertical="top"/>
    </xf>
    <xf numFmtId="3" fontId="4" fillId="10" borderId="0" xfId="0" applyNumberFormat="1" applyFont="1" applyFill="1" applyAlignment="1">
      <alignment vertical="top"/>
    </xf>
    <xf numFmtId="1" fontId="4" fillId="10" borderId="0" xfId="0" applyNumberFormat="1" applyFont="1" applyFill="1" applyAlignment="1">
      <alignment vertical="top"/>
    </xf>
    <xf numFmtId="0" fontId="4" fillId="10" borderId="0" xfId="0" applyFont="1" applyFill="1" applyAlignment="1">
      <alignment vertical="top"/>
    </xf>
    <xf numFmtId="3" fontId="0" fillId="10" borderId="0" xfId="0" applyNumberFormat="1" applyFill="1" applyAlignment="1">
      <alignment vertical="top"/>
    </xf>
    <xf numFmtId="0" fontId="11" fillId="10" borderId="0" xfId="0" applyFont="1" applyFill="1" applyAlignment="1">
      <alignment vertical="top"/>
    </xf>
    <xf numFmtId="3" fontId="27" fillId="10" borderId="0" xfId="0" applyNumberFormat="1" applyFont="1" applyFill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14" fillId="0" borderId="0" xfId="0" applyFont="1" applyAlignment="1">
      <alignment vertical="top"/>
    </xf>
    <xf numFmtId="3" fontId="6" fillId="0" borderId="10" xfId="0" applyNumberFormat="1" applyFont="1" applyBorder="1" applyAlignment="1">
      <alignment vertical="top"/>
    </xf>
    <xf numFmtId="0" fontId="35" fillId="0" borderId="0" xfId="0" applyFont="1" applyAlignment="1">
      <alignment vertical="top"/>
    </xf>
    <xf numFmtId="4" fontId="6" fillId="0" borderId="2" xfId="0" applyNumberFormat="1" applyFont="1" applyBorder="1" applyAlignment="1">
      <alignment vertical="top"/>
    </xf>
    <xf numFmtId="4" fontId="6" fillId="0" borderId="10" xfId="0" applyNumberFormat="1" applyFont="1" applyBorder="1" applyAlignment="1">
      <alignment vertical="top"/>
    </xf>
    <xf numFmtId="0" fontId="14" fillId="11" borderId="4" xfId="0" applyFont="1" applyFill="1" applyBorder="1" applyAlignment="1">
      <alignment vertical="top"/>
    </xf>
    <xf numFmtId="0" fontId="4" fillId="11" borderId="2" xfId="0" applyFont="1" applyFill="1" applyBorder="1" applyAlignment="1">
      <alignment vertical="top"/>
    </xf>
    <xf numFmtId="0" fontId="0" fillId="11" borderId="2" xfId="0" applyFill="1" applyBorder="1" applyAlignment="1">
      <alignment vertical="top"/>
    </xf>
    <xf numFmtId="0" fontId="6" fillId="11" borderId="2" xfId="0" applyFont="1" applyFill="1" applyBorder="1" applyAlignment="1">
      <alignment vertical="top"/>
    </xf>
    <xf numFmtId="3" fontId="0" fillId="11" borderId="5" xfId="0" applyNumberFormat="1" applyFill="1" applyBorder="1" applyAlignment="1">
      <alignment vertical="top"/>
    </xf>
    <xf numFmtId="0" fontId="10" fillId="11" borderId="8" xfId="0" applyFont="1" applyFill="1" applyBorder="1" applyAlignment="1">
      <alignment vertical="top"/>
    </xf>
    <xf numFmtId="0" fontId="0" fillId="11" borderId="0" xfId="0" applyFill="1" applyAlignment="1">
      <alignment vertical="top"/>
    </xf>
    <xf numFmtId="0" fontId="6" fillId="11" borderId="0" xfId="0" applyFont="1" applyFill="1" applyAlignment="1">
      <alignment vertical="top"/>
    </xf>
    <xf numFmtId="3" fontId="0" fillId="11" borderId="9" xfId="0" applyNumberFormat="1" applyFill="1" applyBorder="1" applyAlignment="1">
      <alignment vertical="top"/>
    </xf>
    <xf numFmtId="6" fontId="0" fillId="11" borderId="0" xfId="0" applyNumberFormat="1" applyFill="1" applyAlignment="1">
      <alignment vertical="top"/>
    </xf>
    <xf numFmtId="0" fontId="10" fillId="11" borderId="6" xfId="0" applyFont="1" applyFill="1" applyBorder="1" applyAlignment="1">
      <alignment vertical="top"/>
    </xf>
    <xf numFmtId="6" fontId="0" fillId="11" borderId="1" xfId="0" applyNumberFormat="1" applyFill="1" applyBorder="1" applyAlignment="1">
      <alignment vertical="top"/>
    </xf>
    <xf numFmtId="0" fontId="0" fillId="11" borderId="1" xfId="0" applyFill="1" applyBorder="1" applyAlignment="1">
      <alignment vertical="top"/>
    </xf>
    <xf numFmtId="3" fontId="0" fillId="11" borderId="7" xfId="0" applyNumberFormat="1" applyFill="1" applyBorder="1" applyAlignment="1">
      <alignment vertical="top"/>
    </xf>
    <xf numFmtId="0" fontId="14" fillId="8" borderId="11" xfId="0" applyFont="1" applyFill="1" applyBorder="1" applyAlignment="1">
      <alignment vertical="top"/>
    </xf>
    <xf numFmtId="0" fontId="0" fillId="8" borderId="10" xfId="0" applyFill="1" applyBorder="1" applyAlignment="1">
      <alignment vertical="top"/>
    </xf>
    <xf numFmtId="3" fontId="0" fillId="8" borderId="10" xfId="0" applyNumberFormat="1" applyFill="1" applyBorder="1" applyAlignment="1">
      <alignment vertical="top"/>
    </xf>
    <xf numFmtId="0" fontId="14" fillId="10" borderId="4" xfId="0" applyFont="1" applyFill="1" applyBorder="1" applyAlignment="1">
      <alignment vertical="top"/>
    </xf>
    <xf numFmtId="0" fontId="4" fillId="10" borderId="2" xfId="0" applyFont="1" applyFill="1" applyBorder="1" applyAlignment="1">
      <alignment vertical="top"/>
    </xf>
    <xf numFmtId="4" fontId="4" fillId="10" borderId="2" xfId="0" applyNumberFormat="1" applyFont="1" applyFill="1" applyBorder="1" applyAlignment="1">
      <alignment vertical="top"/>
    </xf>
    <xf numFmtId="3" fontId="4" fillId="10" borderId="2" xfId="0" applyNumberFormat="1" applyFont="1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10" fillId="10" borderId="8" xfId="0" applyFont="1" applyFill="1" applyBorder="1" applyAlignment="1">
      <alignment horizontal="left" vertical="top" wrapText="1"/>
    </xf>
    <xf numFmtId="4" fontId="4" fillId="10" borderId="0" xfId="0" applyNumberFormat="1" applyFont="1" applyFill="1" applyAlignment="1">
      <alignment vertical="top"/>
    </xf>
    <xf numFmtId="0" fontId="4" fillId="10" borderId="9" xfId="0" applyFont="1" applyFill="1" applyBorder="1" applyAlignment="1">
      <alignment vertical="top"/>
    </xf>
    <xf numFmtId="0" fontId="10" fillId="10" borderId="6" xfId="0" applyFont="1" applyFill="1" applyBorder="1" applyAlignment="1">
      <alignment horizontal="left" vertical="top"/>
    </xf>
    <xf numFmtId="0" fontId="4" fillId="10" borderId="1" xfId="0" applyFont="1" applyFill="1" applyBorder="1" applyAlignment="1">
      <alignment vertical="top"/>
    </xf>
    <xf numFmtId="3" fontId="4" fillId="10" borderId="1" xfId="0" applyNumberFormat="1" applyFont="1" applyFill="1" applyBorder="1" applyAlignment="1">
      <alignment vertical="top"/>
    </xf>
    <xf numFmtId="4" fontId="4" fillId="10" borderId="1" xfId="0" applyNumberFormat="1" applyFont="1" applyFill="1" applyBorder="1" applyAlignment="1">
      <alignment vertical="top"/>
    </xf>
    <xf numFmtId="3" fontId="0" fillId="10" borderId="1" xfId="0" applyNumberFormat="1" applyFill="1" applyBorder="1" applyAlignment="1">
      <alignment vertical="top"/>
    </xf>
    <xf numFmtId="0" fontId="4" fillId="10" borderId="7" xfId="0" applyFont="1" applyFill="1" applyBorder="1" applyAlignment="1">
      <alignment vertical="top"/>
    </xf>
    <xf numFmtId="4" fontId="4" fillId="0" borderId="0" xfId="0" applyNumberFormat="1" applyFont="1" applyAlignment="1">
      <alignment vertical="top"/>
    </xf>
    <xf numFmtId="3" fontId="4" fillId="0" borderId="0" xfId="0" applyNumberFormat="1" applyFont="1" applyAlignment="1">
      <alignment vertical="top"/>
    </xf>
    <xf numFmtId="0" fontId="14" fillId="8" borderId="0" xfId="0" applyFont="1" applyFill="1" applyAlignment="1">
      <alignment vertical="top"/>
    </xf>
    <xf numFmtId="3" fontId="0" fillId="8" borderId="0" xfId="0" applyNumberFormat="1" applyFill="1" applyAlignment="1">
      <alignment vertical="top"/>
    </xf>
    <xf numFmtId="0" fontId="0" fillId="10" borderId="2" xfId="0" applyFill="1" applyBorder="1" applyAlignment="1">
      <alignment vertical="top"/>
    </xf>
    <xf numFmtId="3" fontId="0" fillId="10" borderId="2" xfId="0" applyNumberFormat="1" applyFill="1" applyBorder="1" applyAlignment="1">
      <alignment vertical="top"/>
    </xf>
    <xf numFmtId="0" fontId="0" fillId="10" borderId="7" xfId="0" applyFill="1" applyBorder="1" applyAlignment="1">
      <alignment vertical="top"/>
    </xf>
    <xf numFmtId="0" fontId="25" fillId="10" borderId="6" xfId="0" applyFont="1" applyFill="1" applyBorder="1" applyAlignment="1">
      <alignment vertical="top"/>
    </xf>
    <xf numFmtId="0" fontId="20" fillId="0" borderId="0" xfId="0" applyFont="1" applyAlignment="1">
      <alignment vertical="top"/>
    </xf>
    <xf numFmtId="0" fontId="14" fillId="10" borderId="8" xfId="0" applyFont="1" applyFill="1" applyBorder="1" applyAlignment="1">
      <alignment vertical="top"/>
    </xf>
    <xf numFmtId="4" fontId="0" fillId="10" borderId="0" xfId="0" applyNumberFormat="1" applyFill="1" applyAlignment="1">
      <alignment vertical="top"/>
    </xf>
    <xf numFmtId="0" fontId="0" fillId="10" borderId="9" xfId="0" applyFill="1" applyBorder="1" applyAlignment="1">
      <alignment vertical="top"/>
    </xf>
    <xf numFmtId="0" fontId="10" fillId="10" borderId="8" xfId="0" applyFont="1" applyFill="1" applyBorder="1" applyAlignment="1">
      <alignment horizontal="left" vertical="top"/>
    </xf>
    <xf numFmtId="0" fontId="6" fillId="10" borderId="0" xfId="0" applyFont="1" applyFill="1" applyAlignment="1">
      <alignment vertical="top"/>
    </xf>
    <xf numFmtId="0" fontId="14" fillId="10" borderId="8" xfId="0" applyFont="1" applyFill="1" applyBorder="1" applyAlignment="1">
      <alignment horizontal="left" vertical="top"/>
    </xf>
    <xf numFmtId="0" fontId="18" fillId="10" borderId="0" xfId="0" applyFont="1" applyFill="1" applyAlignment="1">
      <alignment vertical="top"/>
    </xf>
    <xf numFmtId="0" fontId="10" fillId="10" borderId="8" xfId="0" applyFont="1" applyFill="1" applyBorder="1" applyAlignment="1">
      <alignment vertical="top"/>
    </xf>
    <xf numFmtId="8" fontId="0" fillId="10" borderId="0" xfId="0" applyNumberFormat="1" applyFill="1" applyAlignment="1">
      <alignment vertical="top"/>
    </xf>
    <xf numFmtId="0" fontId="10" fillId="10" borderId="6" xfId="0" applyFont="1" applyFill="1" applyBorder="1" applyAlignment="1">
      <alignment vertical="top"/>
    </xf>
    <xf numFmtId="4" fontId="0" fillId="0" borderId="0" xfId="0" applyNumberFormat="1" applyAlignment="1">
      <alignment vertical="top"/>
    </xf>
    <xf numFmtId="8" fontId="0" fillId="0" borderId="0" xfId="0" applyNumberFormat="1" applyAlignment="1">
      <alignment vertical="top"/>
    </xf>
    <xf numFmtId="0" fontId="14" fillId="6" borderId="0" xfId="0" applyFont="1" applyFill="1" applyAlignment="1">
      <alignment vertical="top"/>
    </xf>
    <xf numFmtId="8" fontId="0" fillId="6" borderId="0" xfId="0" applyNumberFormat="1" applyFill="1" applyAlignment="1">
      <alignment vertical="top"/>
    </xf>
    <xf numFmtId="164" fontId="6" fillId="6" borderId="0" xfId="2" applyNumberFormat="1" applyFont="1" applyFill="1" applyAlignment="1">
      <alignment vertical="top"/>
    </xf>
    <xf numFmtId="43" fontId="6" fillId="6" borderId="0" xfId="2" applyFont="1" applyFill="1" applyAlignment="1">
      <alignment vertical="top"/>
    </xf>
    <xf numFmtId="0" fontId="10" fillId="7" borderId="4" xfId="0" applyFont="1" applyFill="1" applyBorder="1" applyAlignment="1">
      <alignment vertical="top"/>
    </xf>
    <xf numFmtId="8" fontId="0" fillId="7" borderId="2" xfId="0" applyNumberFormat="1" applyFill="1" applyBorder="1" applyAlignment="1">
      <alignment vertical="top"/>
    </xf>
    <xf numFmtId="0" fontId="0" fillId="7" borderId="2" xfId="0" applyFill="1" applyBorder="1" applyAlignment="1">
      <alignment vertical="top"/>
    </xf>
    <xf numFmtId="0" fontId="6" fillId="7" borderId="2" xfId="0" applyFont="1" applyFill="1" applyBorder="1" applyAlignment="1">
      <alignment horizontal="right" vertical="top"/>
    </xf>
    <xf numFmtId="3" fontId="0" fillId="7" borderId="2" xfId="0" applyNumberFormat="1" applyFill="1" applyBorder="1" applyAlignment="1">
      <alignment vertical="top"/>
    </xf>
    <xf numFmtId="0" fontId="14" fillId="7" borderId="8" xfId="0" applyFont="1" applyFill="1" applyBorder="1" applyAlignment="1">
      <alignment vertical="top"/>
    </xf>
    <xf numFmtId="8" fontId="0" fillId="7" borderId="0" xfId="0" applyNumberFormat="1" applyFill="1" applyAlignment="1">
      <alignment vertical="top"/>
    </xf>
    <xf numFmtId="0" fontId="0" fillId="7" borderId="0" xfId="0" applyFill="1" applyAlignment="1">
      <alignment vertical="top"/>
    </xf>
    <xf numFmtId="3" fontId="0" fillId="6" borderId="0" xfId="2" applyNumberFormat="1" applyFont="1" applyFill="1" applyBorder="1" applyAlignment="1">
      <alignment vertical="top"/>
    </xf>
    <xf numFmtId="0" fontId="0" fillId="6" borderId="0" xfId="0" applyFill="1" applyAlignment="1">
      <alignment vertical="top"/>
    </xf>
    <xf numFmtId="3" fontId="4" fillId="7" borderId="0" xfId="0" applyNumberFormat="1" applyFont="1" applyFill="1" applyAlignment="1">
      <alignment vertical="top"/>
    </xf>
    <xf numFmtId="0" fontId="10" fillId="7" borderId="8" xfId="0" applyFont="1" applyFill="1" applyBorder="1" applyAlignment="1">
      <alignment vertical="top"/>
    </xf>
    <xf numFmtId="3" fontId="0" fillId="7" borderId="0" xfId="0" applyNumberFormat="1" applyFill="1" applyAlignment="1">
      <alignment vertical="top"/>
    </xf>
    <xf numFmtId="2" fontId="0" fillId="7" borderId="0" xfId="0" applyNumberFormat="1" applyFill="1" applyAlignment="1">
      <alignment vertical="top"/>
    </xf>
    <xf numFmtId="3" fontId="6" fillId="7" borderId="0" xfId="0" applyNumberFormat="1" applyFont="1" applyFill="1" applyAlignment="1">
      <alignment vertical="top"/>
    </xf>
    <xf numFmtId="0" fontId="6" fillId="7" borderId="0" xfId="0" applyFont="1" applyFill="1" applyAlignment="1">
      <alignment vertical="top"/>
    </xf>
    <xf numFmtId="0" fontId="4" fillId="7" borderId="8" xfId="0" applyFont="1" applyFill="1" applyBorder="1" applyAlignment="1">
      <alignment vertical="top"/>
    </xf>
    <xf numFmtId="3" fontId="0" fillId="7" borderId="0" xfId="2" applyNumberFormat="1" applyFont="1" applyFill="1" applyBorder="1" applyAlignment="1">
      <alignment vertical="top"/>
    </xf>
    <xf numFmtId="2" fontId="0" fillId="6" borderId="0" xfId="0" applyNumberFormat="1" applyFill="1" applyAlignment="1">
      <alignment vertical="top"/>
    </xf>
    <xf numFmtId="165" fontId="0" fillId="6" borderId="0" xfId="0" applyNumberFormat="1" applyFill="1" applyAlignment="1">
      <alignment vertical="top"/>
    </xf>
    <xf numFmtId="0" fontId="4" fillId="0" borderId="8" xfId="0" applyFont="1" applyBorder="1" applyAlignment="1">
      <alignment vertical="top"/>
    </xf>
    <xf numFmtId="0" fontId="19" fillId="0" borderId="8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2" fontId="0" fillId="0" borderId="0" xfId="0" applyNumberFormat="1" applyAlignment="1">
      <alignment vertical="top"/>
    </xf>
    <xf numFmtId="2" fontId="4" fillId="0" borderId="0" xfId="0" applyNumberFormat="1" applyFont="1" applyAlignment="1">
      <alignment vertical="top"/>
    </xf>
    <xf numFmtId="0" fontId="12" fillId="0" borderId="8" xfId="0" applyFont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1" xfId="0" applyFill="1" applyBorder="1" applyAlignment="1">
      <alignment vertical="top"/>
    </xf>
    <xf numFmtId="3" fontId="0" fillId="7" borderId="1" xfId="0" applyNumberFormat="1" applyFill="1" applyBorder="1" applyAlignment="1">
      <alignment vertical="top"/>
    </xf>
    <xf numFmtId="0" fontId="9" fillId="0" borderId="0" xfId="0" applyFont="1" applyAlignment="1">
      <alignment vertical="top"/>
    </xf>
    <xf numFmtId="3" fontId="9" fillId="0" borderId="0" xfId="0" applyNumberFormat="1" applyFont="1" applyAlignment="1">
      <alignment vertical="top"/>
    </xf>
    <xf numFmtId="3" fontId="0" fillId="6" borderId="0" xfId="0" applyNumberFormat="1" applyFill="1" applyAlignment="1">
      <alignment vertical="top"/>
    </xf>
    <xf numFmtId="17" fontId="6" fillId="0" borderId="0" xfId="0" applyNumberFormat="1" applyFont="1" applyAlignment="1">
      <alignment vertical="top"/>
    </xf>
    <xf numFmtId="0" fontId="4" fillId="10" borderId="5" xfId="0" applyFont="1" applyFill="1" applyBorder="1" applyAlignment="1">
      <alignment vertical="top"/>
    </xf>
    <xf numFmtId="0" fontId="4" fillId="8" borderId="1" xfId="0" applyFont="1" applyFill="1" applyBorder="1" applyAlignment="1">
      <alignment vertical="top"/>
    </xf>
    <xf numFmtId="3" fontId="4" fillId="8" borderId="1" xfId="0" applyNumberFormat="1" applyFont="1" applyFill="1" applyBorder="1" applyAlignment="1">
      <alignment vertical="top"/>
    </xf>
    <xf numFmtId="4" fontId="4" fillId="8" borderId="1" xfId="0" applyNumberFormat="1" applyFont="1" applyFill="1" applyBorder="1" applyAlignment="1">
      <alignment vertical="top"/>
    </xf>
    <xf numFmtId="3" fontId="0" fillId="8" borderId="1" xfId="0" applyNumberFormat="1" applyFill="1" applyBorder="1" applyAlignment="1">
      <alignment vertical="top"/>
    </xf>
    <xf numFmtId="0" fontId="4" fillId="8" borderId="10" xfId="0" applyFont="1" applyFill="1" applyBorder="1" applyAlignment="1">
      <alignment vertical="top"/>
    </xf>
    <xf numFmtId="3" fontId="4" fillId="8" borderId="10" xfId="0" applyNumberFormat="1" applyFont="1" applyFill="1" applyBorder="1" applyAlignment="1">
      <alignment vertical="top"/>
    </xf>
    <xf numFmtId="0" fontId="0" fillId="8" borderId="12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10" fillId="8" borderId="11" xfId="0" applyFont="1" applyFill="1" applyBorder="1" applyAlignment="1">
      <alignment horizontal="left" vertical="top" wrapText="1"/>
    </xf>
    <xf numFmtId="8" fontId="0" fillId="8" borderId="10" xfId="0" applyNumberFormat="1" applyFill="1" applyBorder="1" applyAlignment="1">
      <alignment vertical="top"/>
    </xf>
    <xf numFmtId="0" fontId="6" fillId="8" borderId="10" xfId="0" applyFont="1" applyFill="1" applyBorder="1" applyAlignment="1">
      <alignment vertical="top"/>
    </xf>
    <xf numFmtId="3" fontId="6" fillId="8" borderId="10" xfId="0" applyNumberFormat="1" applyFont="1" applyFill="1" applyBorder="1" applyAlignment="1">
      <alignment vertical="top"/>
    </xf>
    <xf numFmtId="0" fontId="10" fillId="12" borderId="6" xfId="0" applyFont="1" applyFill="1" applyBorder="1" applyAlignment="1">
      <alignment horizontal="left" vertical="top"/>
    </xf>
    <xf numFmtId="0" fontId="10" fillId="10" borderId="0" xfId="0" applyFont="1" applyFill="1" applyAlignment="1">
      <alignment horizontal="left" vertical="top"/>
    </xf>
    <xf numFmtId="0" fontId="0" fillId="8" borderId="2" xfId="0" applyFill="1" applyBorder="1" applyAlignment="1">
      <alignment vertical="top"/>
    </xf>
    <xf numFmtId="0" fontId="10" fillId="10" borderId="4" xfId="0" applyFont="1" applyFill="1" applyBorder="1" applyAlignment="1">
      <alignment vertical="top"/>
    </xf>
    <xf numFmtId="0" fontId="10" fillId="13" borderId="0" xfId="0" applyFont="1" applyFill="1" applyAlignment="1">
      <alignment vertical="top"/>
    </xf>
    <xf numFmtId="0" fontId="14" fillId="8" borderId="4" xfId="0" applyFont="1" applyFill="1" applyBorder="1" applyAlignment="1">
      <alignment vertical="top"/>
    </xf>
    <xf numFmtId="0" fontId="10" fillId="8" borderId="6" xfId="0" applyFont="1" applyFill="1" applyBorder="1" applyAlignment="1">
      <alignment horizontal="left" vertical="top" wrapText="1"/>
    </xf>
    <xf numFmtId="8" fontId="0" fillId="8" borderId="1" xfId="0" applyNumberFormat="1" applyFill="1" applyBorder="1" applyAlignment="1">
      <alignment vertical="top"/>
    </xf>
    <xf numFmtId="0" fontId="10" fillId="10" borderId="0" xfId="0" applyFont="1" applyFill="1" applyAlignment="1">
      <alignment horizontal="left" vertical="top" wrapText="1"/>
    </xf>
    <xf numFmtId="2" fontId="0" fillId="0" borderId="0" xfId="0" applyNumberFormat="1"/>
    <xf numFmtId="2" fontId="0" fillId="12" borderId="0" xfId="0" applyNumberFormat="1" applyFill="1"/>
    <xf numFmtId="2" fontId="0" fillId="8" borderId="10" xfId="0" applyNumberFormat="1" applyFill="1" applyBorder="1" applyAlignment="1">
      <alignment vertical="top"/>
    </xf>
    <xf numFmtId="2" fontId="4" fillId="10" borderId="0" xfId="0" applyNumberFormat="1" applyFont="1" applyFill="1" applyAlignment="1">
      <alignment vertical="top"/>
    </xf>
    <xf numFmtId="2" fontId="4" fillId="10" borderId="1" xfId="0" applyNumberFormat="1" applyFont="1" applyFill="1" applyBorder="1" applyAlignment="1">
      <alignment vertical="top"/>
    </xf>
    <xf numFmtId="2" fontId="4" fillId="8" borderId="1" xfId="0" applyNumberFormat="1" applyFont="1" applyFill="1" applyBorder="1" applyAlignment="1">
      <alignment vertical="top"/>
    </xf>
    <xf numFmtId="2" fontId="0" fillId="10" borderId="0" xfId="0" applyNumberFormat="1" applyFill="1" applyAlignment="1">
      <alignment vertical="top"/>
    </xf>
    <xf numFmtId="2" fontId="0" fillId="10" borderId="1" xfId="0" applyNumberFormat="1" applyFill="1" applyBorder="1" applyAlignment="1">
      <alignment vertical="top"/>
    </xf>
    <xf numFmtId="2" fontId="0" fillId="10" borderId="2" xfId="0" applyNumberFormat="1" applyFill="1" applyBorder="1" applyAlignment="1">
      <alignment vertical="top"/>
    </xf>
    <xf numFmtId="2" fontId="4" fillId="8" borderId="10" xfId="0" applyNumberFormat="1" applyFont="1" applyFill="1" applyBorder="1" applyAlignment="1">
      <alignment vertical="top"/>
    </xf>
    <xf numFmtId="2" fontId="0" fillId="8" borderId="2" xfId="0" applyNumberFormat="1" applyFill="1" applyBorder="1" applyAlignment="1">
      <alignment vertical="top"/>
    </xf>
    <xf numFmtId="2" fontId="0" fillId="8" borderId="1" xfId="0" applyNumberFormat="1" applyFill="1" applyBorder="1" applyAlignment="1">
      <alignment vertical="top"/>
    </xf>
    <xf numFmtId="2" fontId="4" fillId="0" borderId="0" xfId="0" applyNumberFormat="1" applyFont="1" applyAlignment="1">
      <alignment horizontal="right"/>
    </xf>
    <xf numFmtId="4" fontId="4" fillId="8" borderId="10" xfId="0" applyNumberFormat="1" applyFont="1" applyFill="1" applyBorder="1" applyAlignment="1">
      <alignment vertical="top"/>
    </xf>
    <xf numFmtId="3" fontId="0" fillId="12" borderId="0" xfId="0" applyNumberFormat="1" applyFill="1" applyAlignment="1">
      <alignment vertical="top"/>
    </xf>
    <xf numFmtId="0" fontId="11" fillId="12" borderId="0" xfId="0" applyFont="1" applyFill="1" applyAlignment="1">
      <alignment vertical="top"/>
    </xf>
    <xf numFmtId="0" fontId="0" fillId="12" borderId="0" xfId="0" applyFill="1" applyAlignment="1">
      <alignment vertical="top"/>
    </xf>
    <xf numFmtId="0" fontId="4" fillId="12" borderId="0" xfId="0" applyFont="1" applyFill="1" applyAlignment="1">
      <alignment vertical="top"/>
    </xf>
    <xf numFmtId="3" fontId="4" fillId="6" borderId="0" xfId="0" applyNumberFormat="1" applyFont="1" applyFill="1" applyAlignment="1">
      <alignment vertical="top"/>
    </xf>
    <xf numFmtId="1" fontId="4" fillId="6" borderId="0" xfId="0" applyNumberFormat="1" applyFont="1" applyFill="1" applyAlignment="1">
      <alignment vertical="top"/>
    </xf>
    <xf numFmtId="0" fontId="10" fillId="12" borderId="1" xfId="0" applyFont="1" applyFill="1" applyBorder="1" applyAlignment="1">
      <alignment vertical="top"/>
    </xf>
    <xf numFmtId="2" fontId="0" fillId="12" borderId="1" xfId="0" applyNumberFormat="1" applyFill="1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5" xfId="0" applyBorder="1"/>
    <xf numFmtId="0" fontId="0" fillId="0" borderId="9" xfId="0" applyBorder="1"/>
    <xf numFmtId="0" fontId="10" fillId="12" borderId="6" xfId="0" applyFont="1" applyFill="1" applyBorder="1" applyAlignment="1">
      <alignment vertical="top"/>
    </xf>
    <xf numFmtId="2" fontId="0" fillId="0" borderId="7" xfId="0" applyNumberFormat="1" applyBorder="1"/>
    <xf numFmtId="0" fontId="10" fillId="12" borderId="8" xfId="0" applyFont="1" applyFill="1" applyBorder="1" applyAlignment="1">
      <alignment vertical="top"/>
    </xf>
    <xf numFmtId="2" fontId="0" fillId="0" borderId="9" xfId="0" applyNumberFormat="1" applyBorder="1"/>
    <xf numFmtId="0" fontId="0" fillId="0" borderId="7" xfId="0" applyBorder="1"/>
    <xf numFmtId="1" fontId="0" fillId="0" borderId="2" xfId="0" applyNumberFormat="1" applyBorder="1"/>
    <xf numFmtId="2" fontId="4" fillId="0" borderId="2" xfId="0" applyNumberFormat="1" applyFont="1" applyBorder="1"/>
    <xf numFmtId="1" fontId="0" fillId="0" borderId="0" xfId="0" applyNumberFormat="1"/>
    <xf numFmtId="0" fontId="6" fillId="8" borderId="6" xfId="0" applyFont="1" applyFill="1" applyBorder="1" applyAlignment="1">
      <alignment vertical="top"/>
    </xf>
    <xf numFmtId="2" fontId="4" fillId="0" borderId="0" xfId="0" applyNumberFormat="1" applyFont="1" applyAlignment="1">
      <alignment horizontal="right" vertical="top" wrapText="1"/>
    </xf>
    <xf numFmtId="0" fontId="4" fillId="0" borderId="1" xfId="0" applyFont="1" applyBorder="1"/>
    <xf numFmtId="2" fontId="0" fillId="7" borderId="1" xfId="0" applyNumberFormat="1" applyFill="1" applyBorder="1"/>
    <xf numFmtId="2" fontId="4" fillId="0" borderId="0" xfId="0" applyNumberFormat="1" applyFont="1"/>
    <xf numFmtId="2" fontId="0" fillId="12" borderId="0" xfId="0" applyNumberFormat="1" applyFill="1" applyAlignment="1">
      <alignment vertical="top"/>
    </xf>
    <xf numFmtId="0" fontId="0" fillId="12" borderId="1" xfId="0" applyFill="1" applyBorder="1" applyAlignment="1">
      <alignment vertical="top"/>
    </xf>
    <xf numFmtId="2" fontId="0" fillId="12" borderId="1" xfId="0" applyNumberFormat="1" applyFill="1" applyBorder="1" applyAlignment="1">
      <alignment vertical="top"/>
    </xf>
    <xf numFmtId="1" fontId="0" fillId="12" borderId="0" xfId="0" applyNumberFormat="1" applyFill="1"/>
    <xf numFmtId="2" fontId="4" fillId="13" borderId="0" xfId="0" applyNumberFormat="1" applyFont="1" applyFill="1" applyAlignment="1">
      <alignment vertical="top"/>
    </xf>
    <xf numFmtId="0" fontId="0" fillId="13" borderId="0" xfId="0" applyFill="1" applyAlignment="1">
      <alignment vertical="top"/>
    </xf>
    <xf numFmtId="2" fontId="0" fillId="13" borderId="0" xfId="0" applyNumberFormat="1" applyFill="1" applyAlignment="1">
      <alignment vertical="top"/>
    </xf>
    <xf numFmtId="2" fontId="0" fillId="13" borderId="1" xfId="0" applyNumberFormat="1" applyFill="1" applyBorder="1" applyAlignment="1">
      <alignment vertical="top"/>
    </xf>
    <xf numFmtId="0" fontId="4" fillId="6" borderId="0" xfId="0" applyFont="1" applyFill="1"/>
    <xf numFmtId="2" fontId="0" fillId="14" borderId="0" xfId="0" applyNumberFormat="1" applyFill="1"/>
    <xf numFmtId="0" fontId="4" fillId="3" borderId="0" xfId="0" applyFont="1" applyFill="1"/>
    <xf numFmtId="0" fontId="4" fillId="2" borderId="0" xfId="0" applyFont="1" applyFill="1"/>
    <xf numFmtId="0" fontId="4" fillId="3" borderId="0" xfId="0" applyFont="1" applyFill="1" applyAlignment="1">
      <alignment vertical="top"/>
    </xf>
    <xf numFmtId="0" fontId="0" fillId="6" borderId="0" xfId="0" applyFill="1"/>
    <xf numFmtId="0" fontId="0" fillId="3" borderId="0" xfId="0" applyFill="1"/>
    <xf numFmtId="0" fontId="0" fillId="2" borderId="0" xfId="0" applyFill="1"/>
    <xf numFmtId="1" fontId="0" fillId="7" borderId="0" xfId="0" applyNumberFormat="1" applyFill="1"/>
    <xf numFmtId="0" fontId="14" fillId="8" borderId="11" xfId="0" applyFont="1" applyFill="1" applyBorder="1" applyAlignment="1">
      <alignment horizontal="left" vertical="top"/>
    </xf>
    <xf numFmtId="2" fontId="6" fillId="0" borderId="0" xfId="0" applyNumberFormat="1" applyFont="1" applyAlignment="1">
      <alignment horizontal="right" vertical="top" wrapText="1"/>
    </xf>
    <xf numFmtId="2" fontId="6" fillId="0" borderId="0" xfId="0" applyNumberFormat="1" applyFont="1"/>
    <xf numFmtId="2" fontId="6" fillId="8" borderId="10" xfId="0" applyNumberFormat="1" applyFont="1" applyFill="1" applyBorder="1" applyAlignment="1">
      <alignment vertical="top"/>
    </xf>
    <xf numFmtId="2" fontId="6" fillId="8" borderId="2" xfId="0" applyNumberFormat="1" applyFont="1" applyFill="1" applyBorder="1" applyAlignment="1">
      <alignment vertical="top"/>
    </xf>
    <xf numFmtId="1" fontId="6" fillId="0" borderId="0" xfId="0" applyNumberFormat="1" applyFont="1"/>
    <xf numFmtId="0" fontId="10" fillId="13" borderId="1" xfId="0" applyFont="1" applyFill="1" applyBorder="1" applyAlignment="1">
      <alignment vertical="top"/>
    </xf>
    <xf numFmtId="0" fontId="6" fillId="0" borderId="1" xfId="0" applyFont="1" applyBorder="1"/>
    <xf numFmtId="2" fontId="6" fillId="0" borderId="1" xfId="0" applyNumberFormat="1" applyFont="1" applyBorder="1"/>
    <xf numFmtId="1" fontId="6" fillId="8" borderId="10" xfId="0" applyNumberFormat="1" applyFont="1" applyFill="1" applyBorder="1" applyAlignment="1">
      <alignment vertical="top"/>
    </xf>
    <xf numFmtId="2" fontId="0" fillId="13" borderId="2" xfId="0" applyNumberFormat="1" applyFill="1" applyBorder="1" applyAlignment="1">
      <alignment vertical="top"/>
    </xf>
    <xf numFmtId="2" fontId="0" fillId="13" borderId="0" xfId="0" applyNumberFormat="1" applyFill="1"/>
    <xf numFmtId="2" fontId="4" fillId="7" borderId="10" xfId="0" applyNumberFormat="1" applyFont="1" applyFill="1" applyBorder="1" applyAlignment="1">
      <alignment vertical="top"/>
    </xf>
    <xf numFmtId="2" fontId="6" fillId="13" borderId="0" xfId="0" applyNumberFormat="1" applyFont="1" applyFill="1"/>
    <xf numFmtId="2" fontId="6" fillId="13" borderId="1" xfId="0" applyNumberFormat="1" applyFont="1" applyFill="1" applyBorder="1"/>
    <xf numFmtId="0" fontId="4" fillId="7" borderId="2" xfId="0" applyFont="1" applyFill="1" applyBorder="1" applyAlignment="1">
      <alignment vertical="top"/>
    </xf>
    <xf numFmtId="0" fontId="36" fillId="9" borderId="0" xfId="0" applyFont="1" applyFill="1" applyAlignment="1">
      <alignment vertical="top"/>
    </xf>
    <xf numFmtId="1" fontId="4" fillId="0" borderId="0" xfId="0" applyNumberFormat="1" applyFont="1"/>
    <xf numFmtId="3" fontId="0" fillId="0" borderId="0" xfId="0" applyNumberFormat="1"/>
    <xf numFmtId="0" fontId="6" fillId="16" borderId="1" xfId="0" applyFont="1" applyFill="1" applyBorder="1"/>
    <xf numFmtId="9" fontId="0" fillId="0" borderId="0" xfId="0" applyNumberFormat="1" applyAlignment="1">
      <alignment vertical="top" wrapText="1"/>
    </xf>
    <xf numFmtId="2" fontId="0" fillId="17" borderId="0" xfId="0" applyNumberFormat="1" applyFill="1"/>
    <xf numFmtId="2" fontId="0" fillId="17" borderId="0" xfId="0" applyNumberFormat="1" applyFill="1" applyAlignment="1">
      <alignment vertical="top"/>
    </xf>
    <xf numFmtId="3" fontId="0" fillId="0" borderId="0" xfId="0" applyNumberFormat="1" applyAlignment="1">
      <alignment vertical="top" wrapText="1"/>
    </xf>
    <xf numFmtId="0" fontId="0" fillId="12" borderId="0" xfId="0" applyFill="1"/>
    <xf numFmtId="2" fontId="4" fillId="12" borderId="0" xfId="0" applyNumberFormat="1" applyFont="1" applyFill="1" applyAlignment="1">
      <alignment vertical="top"/>
    </xf>
    <xf numFmtId="0" fontId="6" fillId="15" borderId="1" xfId="0" applyFont="1" applyFill="1" applyBorder="1"/>
    <xf numFmtId="0" fontId="6" fillId="15" borderId="0" xfId="0" applyFont="1" applyFill="1" applyAlignment="1">
      <alignment vertical="top"/>
    </xf>
    <xf numFmtId="0" fontId="6" fillId="15" borderId="10" xfId="0" applyFont="1" applyFill="1" applyBorder="1" applyAlignment="1">
      <alignment vertical="top"/>
    </xf>
    <xf numFmtId="0" fontId="0" fillId="17" borderId="0" xfId="0" applyFill="1"/>
    <xf numFmtId="0" fontId="4" fillId="17" borderId="0" xfId="0" applyFont="1" applyFill="1"/>
    <xf numFmtId="0" fontId="10" fillId="17" borderId="8" xfId="0" applyFont="1" applyFill="1" applyBorder="1" applyAlignment="1">
      <alignment vertical="top"/>
    </xf>
    <xf numFmtId="0" fontId="10" fillId="6" borderId="0" xfId="0" applyFont="1" applyFill="1" applyAlignment="1">
      <alignment horizontal="left" vertical="top" wrapText="1"/>
    </xf>
    <xf numFmtId="0" fontId="6" fillId="15" borderId="0" xfId="0" applyFont="1" applyFill="1"/>
    <xf numFmtId="0" fontId="0" fillId="12" borderId="2" xfId="0" applyFill="1" applyBorder="1" applyAlignment="1">
      <alignment vertical="top"/>
    </xf>
    <xf numFmtId="2" fontId="0" fillId="12" borderId="2" xfId="0" applyNumberFormat="1" applyFill="1" applyBorder="1" applyAlignment="1">
      <alignment vertical="top"/>
    </xf>
    <xf numFmtId="0" fontId="10" fillId="13" borderId="0" xfId="0" applyFont="1" applyFill="1" applyAlignment="1">
      <alignment horizontal="left" vertical="top" wrapText="1"/>
    </xf>
    <xf numFmtId="2" fontId="0" fillId="13" borderId="1" xfId="0" applyNumberFormat="1" applyFill="1" applyBorder="1"/>
    <xf numFmtId="2" fontId="0" fillId="14" borderId="0" xfId="0" applyNumberFormat="1" applyFill="1" applyAlignment="1">
      <alignment vertical="top"/>
    </xf>
    <xf numFmtId="8" fontId="4" fillId="10" borderId="0" xfId="0" applyNumberFormat="1" applyFont="1" applyFill="1" applyAlignment="1">
      <alignment vertical="top"/>
    </xf>
    <xf numFmtId="2" fontId="4" fillId="12" borderId="0" xfId="0" applyNumberFormat="1" applyFont="1" applyFill="1"/>
    <xf numFmtId="1" fontId="0" fillId="8" borderId="10" xfId="0" applyNumberFormat="1" applyFill="1" applyBorder="1" applyAlignment="1">
      <alignment vertical="top"/>
    </xf>
    <xf numFmtId="1" fontId="0" fillId="0" borderId="1" xfId="0" applyNumberFormat="1" applyBorder="1"/>
    <xf numFmtId="2" fontId="4" fillId="12" borderId="0" xfId="0" applyNumberFormat="1" applyFont="1" applyFill="1" applyAlignment="1">
      <alignment horizontal="right" vertical="top" wrapText="1"/>
    </xf>
    <xf numFmtId="4" fontId="4" fillId="7" borderId="10" xfId="0" applyNumberFormat="1" applyFont="1" applyFill="1" applyBorder="1" applyAlignment="1">
      <alignment vertical="top"/>
    </xf>
    <xf numFmtId="2" fontId="0" fillId="7" borderId="10" xfId="0" applyNumberFormat="1" applyFill="1" applyBorder="1" applyAlignment="1">
      <alignment vertical="top"/>
    </xf>
    <xf numFmtId="4" fontId="0" fillId="12" borderId="1" xfId="0" applyNumberFormat="1" applyFill="1" applyBorder="1"/>
    <xf numFmtId="4" fontId="0" fillId="7" borderId="1" xfId="0" applyNumberFormat="1" applyFill="1" applyBorder="1"/>
    <xf numFmtId="2" fontId="6" fillId="7" borderId="1" xfId="0" applyNumberFormat="1" applyFont="1" applyFill="1" applyBorder="1"/>
    <xf numFmtId="1" fontId="6" fillId="7" borderId="0" xfId="0" applyNumberFormat="1" applyFont="1" applyFill="1"/>
    <xf numFmtId="0" fontId="6" fillId="5" borderId="0" xfId="0" applyFont="1" applyFill="1" applyAlignment="1">
      <alignment vertical="top"/>
    </xf>
    <xf numFmtId="0" fontId="0" fillId="5" borderId="0" xfId="0" applyFill="1" applyAlignment="1">
      <alignment vertical="top" wrapText="1"/>
    </xf>
    <xf numFmtId="3" fontId="0" fillId="5" borderId="1" xfId="0" applyNumberFormat="1" applyFill="1" applyBorder="1"/>
    <xf numFmtId="2" fontId="0" fillId="5" borderId="1" xfId="0" applyNumberFormat="1" applyFill="1" applyBorder="1"/>
    <xf numFmtId="0" fontId="0" fillId="5" borderId="1" xfId="0" applyFill="1" applyBorder="1"/>
    <xf numFmtId="1" fontId="0" fillId="5" borderId="1" xfId="0" applyNumberFormat="1" applyFill="1" applyBorder="1"/>
    <xf numFmtId="0" fontId="0" fillId="5" borderId="10" xfId="0" applyFill="1" applyBorder="1" applyAlignment="1">
      <alignment vertical="top"/>
    </xf>
    <xf numFmtId="3" fontId="4" fillId="5" borderId="10" xfId="0" applyNumberFormat="1" applyFont="1" applyFill="1" applyBorder="1" applyAlignment="1">
      <alignment vertical="top"/>
    </xf>
    <xf numFmtId="2" fontId="0" fillId="5" borderId="10" xfId="0" applyNumberFormat="1" applyFill="1" applyBorder="1" applyAlignment="1">
      <alignment vertical="top"/>
    </xf>
    <xf numFmtId="2" fontId="4" fillId="5" borderId="10" xfId="0" applyNumberFormat="1" applyFont="1" applyFill="1" applyBorder="1" applyAlignment="1">
      <alignment vertical="top"/>
    </xf>
    <xf numFmtId="4" fontId="4" fillId="5" borderId="10" xfId="0" applyNumberFormat="1" applyFont="1" applyFill="1" applyBorder="1" applyAlignment="1">
      <alignment vertical="top"/>
    </xf>
    <xf numFmtId="1" fontId="0" fillId="5" borderId="0" xfId="0" applyNumberFormat="1" applyFill="1"/>
    <xf numFmtId="0" fontId="6" fillId="4" borderId="0" xfId="0" applyFont="1" applyFill="1" applyAlignment="1">
      <alignment horizontal="center" vertical="top"/>
    </xf>
    <xf numFmtId="0" fontId="14" fillId="8" borderId="0" xfId="0" applyFont="1" applyFill="1" applyAlignment="1">
      <alignment horizontal="left" vertical="top"/>
    </xf>
  </cellXfs>
  <cellStyles count="3">
    <cellStyle name="Comma" xfId="2" builtinId="3"/>
    <cellStyle name="Normal" xfId="0" builtinId="0"/>
    <cellStyle name="Normal 2" xfId="1" xr:uid="{C4930F1B-541D-4BC4-8800-99EBEC5C594D}"/>
  </cellStyles>
  <dxfs count="7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99FFCC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532765</xdr:colOff>
      <xdr:row>70</xdr:row>
      <xdr:rowOff>0</xdr:rowOff>
    </xdr:from>
    <xdr:ext cx="65" cy="1854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BC404A-57C6-4EAE-A00E-0C54FD89A793}"/>
            </a:ext>
          </a:extLst>
        </xdr:cNvPr>
        <xdr:cNvSpPr txBox="1"/>
      </xdr:nvSpPr>
      <xdr:spPr>
        <a:xfrm>
          <a:off x="3603625" y="11247120"/>
          <a:ext cx="65" cy="185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532765</xdr:colOff>
      <xdr:row>73</xdr:row>
      <xdr:rowOff>0</xdr:rowOff>
    </xdr:from>
    <xdr:ext cx="65" cy="1854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14F0E6-457C-4C32-B4D4-7E283B317ACB}"/>
            </a:ext>
          </a:extLst>
        </xdr:cNvPr>
        <xdr:cNvSpPr txBox="1"/>
      </xdr:nvSpPr>
      <xdr:spPr>
        <a:xfrm>
          <a:off x="4876165" y="13129260"/>
          <a:ext cx="65" cy="185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532765</xdr:colOff>
      <xdr:row>128</xdr:row>
      <xdr:rowOff>0</xdr:rowOff>
    </xdr:from>
    <xdr:ext cx="65" cy="1854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0065CF-B2C1-427D-A4D0-56651A350D74}"/>
            </a:ext>
          </a:extLst>
        </xdr:cNvPr>
        <xdr:cNvSpPr txBox="1"/>
      </xdr:nvSpPr>
      <xdr:spPr>
        <a:xfrm>
          <a:off x="1142365" y="22562820"/>
          <a:ext cx="65" cy="185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532765</xdr:colOff>
      <xdr:row>116</xdr:row>
      <xdr:rowOff>0</xdr:rowOff>
    </xdr:from>
    <xdr:ext cx="65" cy="1854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AAC294A-634C-48FE-854F-ACADA17A942F}"/>
            </a:ext>
          </a:extLst>
        </xdr:cNvPr>
        <xdr:cNvSpPr txBox="1"/>
      </xdr:nvSpPr>
      <xdr:spPr>
        <a:xfrm>
          <a:off x="4876165" y="13655040"/>
          <a:ext cx="65" cy="185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532765</xdr:colOff>
      <xdr:row>59</xdr:row>
      <xdr:rowOff>0</xdr:rowOff>
    </xdr:from>
    <xdr:ext cx="65" cy="1854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6214B78-58BF-CBE7-67D1-21519A42AD69}"/>
            </a:ext>
          </a:extLst>
        </xdr:cNvPr>
        <xdr:cNvSpPr txBox="1"/>
      </xdr:nvSpPr>
      <xdr:spPr>
        <a:xfrm>
          <a:off x="5819775" y="8577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imon Hedges" id="{4A2A4441-067B-4294-B1DF-CC355F66F201}" userId="6fbc11b3ca497c32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5-01-09T14:54:57.40" personId="{4A2A4441-067B-4294-B1DF-CC355F66F201}" id="{D37B52FA-2650-469F-8AA9-A987E70C6F0A}">
    <text>3 month of budget, plus printer cost</text>
  </threadedComment>
  <threadedComment ref="I8" dT="2025-01-09T14:55:27.62" personId="{4A2A4441-067B-4294-B1DF-CC355F66F201}" id="{BF81A05E-03B2-4B36-8FB9-2FB942A1B1B8}">
    <text>Excludes asterisked items which are included elsewhere.  So keep as per 2024/25 budget plus inflation.</text>
  </threadedComment>
  <threadedComment ref="I10" dT="2025-01-09T16:28:12.55" personId="{4A2A4441-067B-4294-B1DF-CC355F66F201}" id="{984ACAD3-42DF-4F56-920A-96EB857517F0}">
    <text>Don’t yet know the specific charges for our account.</text>
  </threadedComment>
  <threadedComment ref="A11" dT="2025-01-09T20:05:04.73" personId="{4A2A4441-067B-4294-B1DF-CC355F66F201}" id="{6C3185FD-C9DD-4753-A646-098EF79482CB}">
    <text>SLCC - £120, ICO £40</text>
  </threadedComment>
  <threadedComment ref="F18" dT="2025-01-09T14:56:53.46" personId="{4A2A4441-067B-4294-B1DF-CC355F66F201}" id="{C736C098-EBC2-4295-86BF-276118B6FA83}">
    <text>3 months at spend rate to end dec + 400 for Church Road Clearance</text>
  </threadedComment>
  <threadedComment ref="A30" dT="2025-01-09T16:20:40.03" personId="{4A2A4441-067B-4294-B1DF-CC355F66F201}" id="{0F1A6C2D-9D5A-4229-8C9A-37736D42E107}">
    <text>This was named CLT Forum.  Is there a reason that this is in this section of the budget, rather than the “Funds” section below?</text>
  </threadedComment>
  <threadedComment ref="I31" dT="2025-01-09T15:32:56.50" personId="{4A2A4441-067B-4294-B1DF-CC355F66F201}" id="{4EC01B61-364A-482A-AEED-D0C0B13BA421}">
    <text>Reduce to £500 as no spend in 2024/25</text>
  </threadedComment>
  <threadedComment ref="F32" dT="2025-01-09T20:43:34.30" personId="{4A2A4441-067B-4294-B1DF-CC355F66F201}" id="{37E6A3A7-CF8A-4876-8B22-22D2C12347E7}">
    <text>Play Area ROSPA Repairs</text>
  </threadedComment>
  <threadedComment ref="A49" dT="2025-01-09T23:50:34.64" personId="{4A2A4441-067B-4294-B1DF-CC355F66F201}" id="{C4C60BF3-F8E2-48BD-80F5-77000CEB5567}">
    <text>Community activities and cohesion, including the growth of social activities in the parish, encouraging volunteering.</text>
  </threadedComment>
  <threadedComment ref="I49" dT="2025-01-09T16:14:56.63" personId="{4A2A4441-067B-4294-B1DF-CC355F66F201}" id="{39C16795-FC6D-4459-AC35-E46A13B51D3A}">
    <text>Increase, as we are spending a good proportion of this budget on the Social worker, and we may need to spend more in 2025/26 to encourage more community activity and volunteering in the parish.</text>
  </threadedComment>
  <threadedComment ref="A54" dT="2025-01-09T23:49:11.09" personId="{4A2A4441-067B-4294-B1DF-CC355F66F201}" id="{B44B69D8-F3FC-4737-9951-A876DAD553C0}">
    <text>Lime Avenue Regeneration, other Tree Planting  and Maintenance</text>
  </threadedComment>
  <threadedComment ref="A58" dT="2025-01-09T16:01:52.52" personId="{4A2A4441-067B-4294-B1DF-CC355F66F201}" id="{2276A2DE-477A-4774-AAD8-F9D4927FE931}">
    <text>Fire Station, Bus Shelters, Gazebo, Tennis Hut, War Memorial, Additional Traffic Signs and Lighting, Flagpole (via RBL), Equipment other than on Big Rec.  To be reviewed in 25/26 - consider splitting into other funds.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8" dT="2025-01-09T14:54:57.40" personId="{4A2A4441-067B-4294-B1DF-CC355F66F201}" id="{92DEC327-DF72-4D4C-AE05-CC3C43042532}">
    <text>3 month of budget, plus printer cost</text>
  </threadedComment>
  <threadedComment ref="I8" dT="2025-01-09T14:55:27.62" personId="{4A2A4441-067B-4294-B1DF-CC355F66F201}" id="{74CB683E-5ECF-4D9E-BFD5-11C86CF227AF}">
    <text>Excludes asterisked items which are included elsewhere.  So keep as per 2024/25 budget plus inflation.</text>
  </threadedComment>
  <threadedComment ref="I10" dT="2025-01-09T16:28:12.55" personId="{4A2A4441-067B-4294-B1DF-CC355F66F201}" id="{43110B68-781D-449E-B0B0-E2A3456FBFA1}">
    <text>Don’t yet know the specific charges for our account.</text>
  </threadedComment>
  <threadedComment ref="A11" dT="2025-01-09T20:05:04.73" personId="{4A2A4441-067B-4294-B1DF-CC355F66F201}" id="{A8617DB8-080F-478E-A5C0-8F40C6F6B03F}">
    <text>SLCC - £120, ICO £40</text>
  </threadedComment>
  <threadedComment ref="F18" dT="2025-01-09T14:56:53.46" personId="{4A2A4441-067B-4294-B1DF-CC355F66F201}" id="{E3FE0CEB-4CF4-4BFD-84B3-5DAA6877C0C3}">
    <text>3 months at spend rate to end dec + 400 for Church Road Clearance</text>
  </threadedComment>
  <threadedComment ref="A30" dT="2025-01-09T16:20:40.03" personId="{4A2A4441-067B-4294-B1DF-CC355F66F201}" id="{C4245366-BE61-4955-BC19-B218DC7B6B52}">
    <text>This was named CLT Forum.  Is there a reason that this is in this section of the budget, rather than the “Funds” section below?</text>
  </threadedComment>
  <threadedComment ref="I31" dT="2025-01-09T15:32:56.50" personId="{4A2A4441-067B-4294-B1DF-CC355F66F201}" id="{3BB01ADA-679E-4A90-95CD-2A5479C8F53C}">
    <text>Reduce to £500 as no spend in 2024/25</text>
  </threadedComment>
  <threadedComment ref="F32" dT="2025-01-09T20:43:34.30" personId="{4A2A4441-067B-4294-B1DF-CC355F66F201}" id="{C1FC2C34-F74F-45EB-8473-91FD6804ECB0}">
    <text>Play Area ROSPA Repairs</text>
  </threadedComment>
  <threadedComment ref="A50" dT="2025-01-09T23:50:34.64" personId="{4A2A4441-067B-4294-B1DF-CC355F66F201}" id="{B35B9CA0-1B41-45E1-8322-BCF58FF1C9CD}">
    <text>Community activities and cohesion, including the growth of social activities in the parish, encouraging volunteering.</text>
  </threadedComment>
  <threadedComment ref="I53" dT="2025-01-09T16:14:56.63" personId="{4A2A4441-067B-4294-B1DF-CC355F66F201}" id="{1782196A-0054-4DAC-A16B-0445999F52D2}">
    <text>Increase, as we are spending a good proportion of this budget on the Social worker, and we may need to spend more in 2025/26 to encourage more community activity and volunteering in the parish.</text>
  </threadedComment>
  <threadedComment ref="A56" dT="2025-01-09T23:49:11.09" personId="{4A2A4441-067B-4294-B1DF-CC355F66F201}" id="{C3C882F3-E49F-47D9-B589-A42F05B1EEBE}">
    <text>Lime Avenue Regeneration, other Tree Planting  and Maintenance</text>
  </threadedComment>
  <threadedComment ref="A61" dT="2025-01-09T16:01:52.52" personId="{4A2A4441-067B-4294-B1DF-CC355F66F201}" id="{F1558F6A-FB06-417C-99DE-1B7D19782191}">
    <text>Fire Station, Bus Shelters, Gazebo, Tennis Hut, War Memorial, Additional Traffic Signs and Lighting, Flagpole (via RBL), Equipment other than on Big Rec.  To be reviewed in 25/26 - consider splitting into other funds.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24" dT="2025-01-09T20:05:04.73" personId="{4A2A4441-067B-4294-B1DF-CC355F66F201}" id="{58E18842-D4C9-4737-A408-934B83BD907B}">
    <text>SLCC - £120, ICO £40</text>
  </threadedComment>
  <threadedComment ref="B25" dT="2025-01-09T20:05:04.73" personId="{4A2A4441-067B-4294-B1DF-CC355F66F201}" id="{071FF7D2-8ECC-49E8-B17F-B97903C2E76D}">
    <text>SLCC - £120, ICO £40</text>
  </threadedComment>
  <threadedComment ref="B26" dT="2025-01-09T20:05:04.73" personId="{4A2A4441-067B-4294-B1DF-CC355F66F201}" id="{6AC7D582-86C1-43CA-B12B-E75A0990E9E5}">
    <text>SLCC - £120, ICO £40</text>
  </threadedComment>
  <threadedComment ref="B81" dT="2025-01-09T16:20:40.03" personId="{4A2A4441-067B-4294-B1DF-CC355F66F201}" id="{8B61BE6A-8C1E-47DD-96F5-A0F0F815C2CD}">
    <text>This was named CLT Forum.  Is there a reason that this is in this section of the budget, rather than the “Funds” section below?</text>
  </threadedComment>
  <threadedComment ref="B82" dT="2025-01-09T16:20:40.03" personId="{4A2A4441-067B-4294-B1DF-CC355F66F201}" id="{764D4041-8ED4-45AD-AFF6-62CBBF237150}">
    <text>This was named CLT Forum.  Is there a reason that this is in this section of the budget, rather than the “Funds” section below?</text>
  </threadedComment>
  <threadedComment ref="B83" dT="2025-01-09T16:20:40.03" personId="{4A2A4441-067B-4294-B1DF-CC355F66F201}" id="{394EDB9B-0230-497E-98DA-DD334B3325CB}">
    <text>This was named CLT Forum.  Is there a reason that this is in this section of the budget, rather than the “Funds” section below?</text>
  </threadedComment>
  <threadedComment ref="B114" dT="2025-01-09T23:49:11.09" personId="{4A2A4441-067B-4294-B1DF-CC355F66F201}" id="{19E3CA50-DE93-4812-8674-42BD66C3F13E}">
    <text>Lime Avenue Regeneration, other Tree Planting  and Maintenance</text>
  </threadedComment>
  <threadedComment ref="B120" dT="2025-01-09T16:01:52.52" personId="{4A2A4441-067B-4294-B1DF-CC355F66F201}" id="{AFB1067B-985B-44EF-92B4-E6FA97DDFE35}">
    <text>Fire Station, Bus Shelters, Gazebo, Tennis Hut, War Memorial, Additional Traffic Signs and Lighting, Flagpole (via RBL), Equipment other than on Big Rec.  To be reviewed in 25/26 - consider splitting into other funds.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4" dT="2025-11-23T16:35:10.58" personId="{4A2A4441-067B-4294-B1DF-CC355F66F201}" id="{98383598-7B9D-49E7-9168-A45AA40BACB3}">
    <text xml:space="preserve">Figure taken from April Minutes.  Need to Cross check with April Statement (on old Bank Account).
</text>
  </threadedComment>
  <threadedComment ref="G4" dT="2025-11-23T16:23:58.06" personId="{4A2A4441-067B-4294-B1DF-CC355F66F201}" id="{C726BA2B-CBA3-4AC7-BBA2-7AFFABB89769}">
    <text>Clerk Wages £732.88 paid on 14/05/25.</text>
  </threadedComment>
  <threadedComment ref="H4" dT="2025-11-23T16:08:52.98" personId="{4A2A4441-067B-4294-B1DF-CC355F66F201}" id="{952DC61D-19A3-4D5F-8E71-B21AC52A4FB1}">
    <text>Bank Payment of Clerk’s wages of £708.16 paid on 04/06/25.</text>
  </threadedComment>
  <threadedComment ref="I4" dT="2025-11-23T15:55:59.45" personId="{4A2A4441-067B-4294-B1DF-CC355F66F201}" id="{BA40BEFC-3DEE-4520-9F3D-A2A626B28800}">
    <text>Payment by bank of £789.68 comprising £753.12 Pay, and mail (May £12.36, June £12.10, July, £12.10) £36.56.  This is the point at which we switch from paying in arrears to paying in advance.</text>
  </threadedComment>
  <threadedComment ref="J4" dT="2025-11-23T15:05:48.94" personId="{4A2A4441-067B-4294-B1DF-CC355F66F201}" id="{56CC8D4E-AE60-4B53-9B41-96987B166A65}">
    <text>Bank Paid £814.07 in total for Clerk’s wages (£803.08), Sim Card £0.99, Top Up £10.00).</text>
  </threadedComment>
  <threadedComment ref="K4" dT="2025-11-23T11:44:50.63" personId="{4A2A4441-067B-4294-B1DF-CC355F66F201}" id="{2A30FFE0-79B9-4230-99B8-C55CAA761DDC}">
    <text xml:space="preserve">Bank Payment of £877.59, consisting of £839.48 for salary and backpay, plus £26.00 for allowances (totalling £865.48), and £12.10 for email. </text>
  </threadedComment>
  <threadedComment ref="L4" dT="2025-11-23T10:50:57.52" personId="{4A2A4441-067B-4294-B1DF-CC355F66F201}" id="{83108D9E-0ED8-43FD-BBB1-69327CB6F98B}">
    <text>Total £922.78 Bank Payment. consisting of Pay £746.40+£26.00 Allowance = £772.40; in same payment was £2.50 for Card, and defibrillator for £119.99.  This totals £894.89, leaving a missing item of £27.89 to be accounted for.</text>
  </threadedComment>
  <threadedComment ref="M4" dT="2025-11-23T10:30:44.98" personId="{4A2A4441-067B-4294-B1DF-CC355F66F201}" id="{561A3241-86BC-4780-B665-F2EF0585F49A}">
    <text>Bank Payment 06/11/25, £784.5, consisting of £772.40 for Salary and Allowances and £12.10 for Clerk's email.</text>
  </threadedComment>
  <threadedComment ref="F6" dT="2025-11-23T16:34:37.30" personId="{4A2A4441-067B-4294-B1DF-CC355F66F201}" id="{92DE2F4F-FF31-4F37-AF3C-2232622999B3}">
    <text>Figure taken from April Minutes.  Need to Cross check with April Statement (on old Bank Account).</text>
  </threadedComment>
  <threadedComment ref="I6" dT="2025-11-23T15:45:57.13" personId="{4A2A4441-067B-4294-B1DF-CC355F66F201}" id="{0C14AFB9-3F0D-47D2-A6B9-8416105F4AB7}">
    <text>Bank Payment £744.73 for Employer’s PAYE NI on 09/07/25.</text>
  </threadedComment>
  <threadedComment ref="L6" dT="2025-11-23T16:53:44.54" personId="{4A2A4441-067B-4294-B1DF-CC355F66F201}" id="{CCA16A6D-F957-41B2-BF15-612CF20E8B03}">
    <text>Bank Payment to HMRC for Employers NI for Clerk for 3 months, paid on 08/10/25.</text>
  </threadedComment>
  <threadedComment ref="G8" dT="2025-11-23T14:57:33.25" personId="{4A2A4441-067B-4294-B1DF-CC355F66F201}" id="{A3DAE065-3787-44CC-BC81-D55543A33360}">
    <text>Paid from Bank £95.59 for printer cartridges to Simon Hedges who bought them for Sheila.  No VAT Claimable. Paid on 15/05/25.</text>
  </threadedComment>
  <threadedComment ref="J8" dT="2025-11-23T14:57:33.25" personId="{4A2A4441-067B-4294-B1DF-CC355F66F201}" id="{9E8A3F93-1E73-48F4-AAE2-75B0EBA366A6}">
    <text>Paid from Bank £95.59 for printer cartridges to Simon Hedges who bought them for Sheila.  No VAT Claimable. Paid on 06/08/25.</text>
  </threadedComment>
  <threadedComment ref="J9" dT="2025-11-23T15:06:00.97" personId="{4A2A4441-067B-4294-B1DF-CC355F66F201}" id="{A8A81233-81FD-4821-9C19-ECF007265E34}">
    <text>Bank Paid £814.07 in total for Clerk’s wages (£803.08), Sim Card £0.99, Top Up £10.00).</text>
  </threadedComment>
  <threadedComment ref="I10" dT="2025-11-23T15:55:53.21" personId="{4A2A4441-067B-4294-B1DF-CC355F66F201}" id="{2A8C268C-ED9F-43A7-B08A-61644ED25602}">
    <text>Payment by bank of £789.68 comprising £753.12 Pay, and mail (May £12.36, June £12.10, July, £12.10) £36.56.  This is the point at which we switch from paying in arrears to paying in advance.</text>
  </threadedComment>
  <threadedComment ref="K10" dT="2025-11-23T11:45:00.07" personId="{4A2A4441-067B-4294-B1DF-CC355F66F201}" id="{58967E0B-0743-417F-B509-967FA4E9B6C7}">
    <text xml:space="preserve">Bank Payment of £877.59, consisting of £839.48 for salary and backpay, plus £26.00 for allowances (totalling £865.48), and £12.10 for email. </text>
  </threadedComment>
  <threadedComment ref="M10" dT="2025-11-23T10:31:04.16" personId="{4A2A4441-067B-4294-B1DF-CC355F66F201}" id="{1E97EE8A-F873-43D3-831E-CC64959F97FB}">
    <text>Bank Payment 06/11/25, £784.5, consisting of £772.40 for Salary and Allowances and £12.10 for Clerk's email.</text>
  </threadedComment>
  <threadedComment ref="G17" dT="2025-11-23T16:11:27.37" personId="{4A2A4441-067B-4294-B1DF-CC355F66F201}" id="{6B6D9848-3F28-4DBD-9D4A-98E7719710BC}">
    <text>Direct Debit to Unity Trust Bank for £6.00 fees on 31/05/25.</text>
  </threadedComment>
  <threadedComment ref="H17" dT="2025-11-23T16:11:27.37" personId="{4A2A4441-067B-4294-B1DF-CC355F66F201}" id="{FEE4E79B-8093-455D-8F1B-B9612D2044D8}">
    <text>Direct Debit to Unity Trust Bank for £6.00 fees on 30/06/25.</text>
  </threadedComment>
  <threadedComment ref="I17" dT="2025-11-23T16:00:50.38" personId="{4A2A4441-067B-4294-B1DF-CC355F66F201}" id="{6CF98485-4D93-4E92-84ED-932E68E19EAB}">
    <text>Direct Debit of Bank Fees £6.00 on 31/07/25</text>
  </threadedComment>
  <threadedComment ref="J17" dT="2025-11-23T14:47:48.70" personId="{4A2A4441-067B-4294-B1DF-CC355F66F201}" id="{7B23990C-101B-4D49-B56F-46A952407295}">
    <text>£6 paid by Direct Debit to Microsoft on 31/08/25.</text>
  </threadedComment>
  <threadedComment ref="K17" dT="2025-11-23T14:47:48.70" personId="{4A2A4441-067B-4294-B1DF-CC355F66F201}" id="{183C48F3-DA67-4A76-AC85-ECDB9D308570}">
    <text>£6 paid by Direct Debit to Microsoft on 30/09/25.</text>
  </threadedComment>
  <threadedComment ref="L17" dT="2025-11-23T10:39:52.00" personId="{4A2A4441-067B-4294-B1DF-CC355F66F201}" id="{5AFBD7F1-32BD-4484-8736-4766576AD87F}">
    <text>Bank Payment £6.00 to Unity Trust  on 24/10/25.</text>
  </threadedComment>
  <threadedComment ref="B21" dT="2025-01-09T20:05:04.73" personId="{4A2A4441-067B-4294-B1DF-CC355F66F201}" id="{7133B168-E600-451F-A406-1168703F90C1}">
    <text>SLCC - £120, ICO £40</text>
  </threadedComment>
  <threadedComment ref="H21" dT="2025-11-23T16:10:00.92" personId="{4A2A4441-067B-4294-B1DF-CC355F66F201}" id="{4C4F9884-42FC-4B06-A822-13F5E1A88C87}">
    <text>Direct Debit of £47.00 for Information Commissioner on 26/05/25.</text>
  </threadedComment>
  <threadedComment ref="B25" dT="2025-01-09T20:05:04.73" personId="{4A2A4441-067B-4294-B1DF-CC355F66F201}" id="{FEC8E155-9A90-4621-9E38-20FFD82026AF}">
    <text>SLCC - £120, ICO £40</text>
  </threadedComment>
  <threadedComment ref="G28" dT="2025-11-23T16:23:25.26" personId="{4A2A4441-067B-4294-B1DF-CC355F66F201}" id="{A0336341-13E9-4F08-BE35-F85DA0EF1E0B}">
    <text>Bank Payment to Zurich insurance for SPC public liability insurance £819.95 on 14/05/25.</text>
  </threadedComment>
  <threadedComment ref="I30" dT="2025-11-23T15:59:50.60" personId="{4A2A4441-067B-4294-B1DF-CC355F66F201}" id="{5EBFE2B7-3C7E-472D-B963-B7720DA3A2E7}">
    <text>First 3 direct monthsworth of Direct Debit Payments £90 on 24/07/25.</text>
  </threadedComment>
  <threadedComment ref="J30" dT="2025-11-23T15:17:27.42" personId="{4A2A4441-067B-4294-B1DF-CC355F66F201}" id="{47C225C1-F74A-4FF1-820D-55F29ABCD0D3}">
    <text>Paid from Bank £30.00 to Westcott on 26/08/25.</text>
  </threadedComment>
  <threadedComment ref="K30" dT="2025-11-23T14:46:55.49" personId="{4A2A4441-067B-4294-B1DF-CC355F66F201}" id="{C340D5D8-B903-4743-9CCD-A72BB4B9C553}">
    <text>£30 paid by direct debit to Westcott on 03/09/25.</text>
  </threadedComment>
  <threadedComment ref="L30" dT="2025-11-23T10:41:10.94" personId="{4A2A4441-067B-4294-B1DF-CC355F66F201}" id="{FFA0159B-2090-4239-B176-9F2FF4EECF39}">
    <text>Bank Payment £30.00 to Westcott, paid 24/10/25.</text>
  </threadedComment>
  <threadedComment ref="G33" dT="2025-11-23T16:20:36.64" personId="{4A2A4441-067B-4294-B1DF-CC355F66F201}" id="{A72FC572-108B-4C68-A41A-D6490E4E710B}">
    <text>Bank Payment to Penny Clapham for Internal Audit £103.00 on 14/05/25.</text>
  </threadedComment>
  <threadedComment ref="J35" dT="2025-11-23T14:58:59.72" personId="{4A2A4441-067B-4294-B1DF-CC355F66F201}" id="{FE84589A-6CF0-4CAE-8F06-EEDB96BB8282}">
    <text xml:space="preserve">Bank Payment to PKF (Auditing) of £378.00 on 06/08/25.  </text>
  </threadedComment>
  <threadedComment ref="G44" dT="2025-11-23T16:16:56.06" personId="{4A2A4441-067B-4294-B1DF-CC355F66F201}" id="{E8607298-C075-46B7-B799-24B8AA042E64}">
    <text>Bank Payment to Rhino Play for Repairs to Children’s Play Area £6,805.20 on 14/05/25.</text>
  </threadedComment>
  <threadedComment ref="J45" dT="2025-11-23T15:02:35.46" personId="{4A2A4441-067B-4294-B1DF-CC355F66F201}" id="{A91BE697-A421-4A21-8767-63F73DB0B856}">
    <text>Bank Payment £781.68 to Evolution Skate Parks on 06/08/25.</text>
  </threadedComment>
  <threadedComment ref="I46" dT="2025-11-23T15:50:37.17" personId="{4A2A4441-067B-4294-B1DF-CC355F66F201}" id="{3901925D-B7FD-45ED-87D0-C55CDC09BD7E}">
    <text>Bank payment of £13,968.00 to White Rose Tarmacadam for Skate Park resurfacing on 09/07/25.</text>
  </threadedComment>
  <threadedComment ref="M49" dT="2025-11-23T10:20:59.11" personId="{4A2A4441-067B-4294-B1DF-CC355F66F201}" id="{4F92BA49-0777-4076-95B8-7609908D5866}">
    <text>Bank Payment to Silverton Community Hall £184.00 on 06/11/25.  This consisted of £140 basic, plus extra bookings for additional meeting on 25/11/25 plus training meeting.</text>
  </threadedComment>
  <threadedComment ref="I50" dT="2025-11-23T15:57:24.14" personId="{4A2A4441-067B-4294-B1DF-CC355F66F201}" id="{5C03298B-BB13-41AD-838E-19E5DD9B166E}">
    <text>Bank Payment of £25.00 for Silverton Room 4 U for meeting of Broad Oak Working Group.</text>
  </threadedComment>
  <threadedComment ref="J55" dT="2025-11-23T15:07:50.59" personId="{4A2A4441-067B-4294-B1DF-CC355F66F201}" id="{C0B5EBA5-E8A4-4F41-9C49-3501785CC960}">
    <text>Bank Payment £980.40 to Smith of Derby for Clock annual maintenance paid on 06/08/24.</text>
  </threadedComment>
  <threadedComment ref="I64" dT="2025-11-23T15:58:31.35" personId="{4A2A4441-067B-4294-B1DF-CC355F66F201}" id="{08CCAC9D-83D4-4F8C-AF1E-0141FEE5B311}">
    <text>Bank Payment donation of £500.00 to Silverton Street Market on 09/07/25.</text>
  </threadedComment>
  <threadedComment ref="G71" dT="2025-11-23T16:18:37.01" personId="{4A2A4441-067B-4294-B1DF-CC355F66F201}" id="{85FF5711-740B-4C15-9928-3DD1E468C822}">
    <text>Bank Payment of £17.64 for DAAT floodlights on 14/05/24.</text>
  </threadedComment>
  <threadedComment ref="J71" dT="2025-11-23T15:19:07.17" personId="{4A2A4441-067B-4294-B1DF-CC355F66F201}" id="{858818AA-81B9-49AF-8BB9-028C48752A57}">
    <text>Paid from Bank to Eon £54.23 on 06/08/25.</text>
  </threadedComment>
  <threadedComment ref="G77" dT="2025-11-23T16:14:19.79" personId="{4A2A4441-067B-4294-B1DF-CC355F66F201}" id="{197A1AB5-7442-4D07-8CA5-425C6F157D61}">
    <text>Bank Payment of £625.00 to Denis Marsden Handyman for routine work on 14/05/25.</text>
  </threadedComment>
  <threadedComment ref="H77" dT="2025-11-23T16:07:03.80" personId="{4A2A4441-067B-4294-B1DF-CC355F66F201}" id="{093D5734-D971-460C-B895-7318EB18C37A}">
    <text>Bank Payment for Denis Marsden, Handyman of £625 on 04/06/25.</text>
  </threadedComment>
  <threadedComment ref="I77" dT="2025-11-23T15:49:01.68" personId="{4A2A4441-067B-4294-B1DF-CC355F66F201}" id="{911C4C1E-FE85-4561-AE43-B67A921B6435}">
    <text>Bank payment £650 to Denis Marsden for routine Handyman work on 09/07/25.  Payments this month and onwards increase from £625 to £650 as he now keeps down weeds on the pond site and the church road bank.</text>
  </threadedComment>
  <threadedComment ref="J77" dT="2025-11-23T15:09:11.31" personId="{4A2A4441-067B-4294-B1DF-CC355F66F201}" id="{07D31A90-C0B2-4CA3-BD7F-3333DD790128}">
    <text>Bank payment £650.00 to Denis Marsden for routine handyman work on 06/08/25.</text>
  </threadedComment>
  <threadedComment ref="K77" dT="2025-11-23T11:38:29.36" personId="{4A2A4441-067B-4294-B1DF-CC355F66F201}" id="{145D4053-20FB-4269-AC23-7710B9DC7232}">
    <text>Bank Payment of £675.00 consisting of £650 routine work, plus £25.00 ad hoc to replace damaged slab in Big Rec, paid on 03/09/25.</text>
  </threadedComment>
  <threadedComment ref="L77" dT="2025-11-23T11:20:28.40" personId="{4A2A4441-067B-4294-B1DF-CC355F66F201}" id="{DFF3F93F-A235-4D8D-B7FF-618BD69177EA}">
    <text>£650.00 paid to Denis Marsden on 08/10/25.</text>
  </threadedComment>
  <threadedComment ref="M77" dT="2025-11-23T10:22:30.25" personId="{4A2A4441-067B-4294-B1DF-CC355F66F201}" id="{7505A2F6-CFAE-43B4-9CDF-CBD71454EC51}">
    <text>Bank Payment £650.00 to Denis Marsden on 06/11/25.</text>
  </threadedComment>
  <threadedComment ref="J79" dT="2025-11-23T14:55:33.20" personId="{4A2A4441-067B-4294-B1DF-CC355F66F201}" id="{271BAC47-C88D-4017-AD22-93E1DC09EEFC}">
    <text>Paid £300 from Bank to Denis for Seats on little Rec on 06/08/25.</text>
  </threadedComment>
  <threadedComment ref="K79" dT="2025-11-23T11:39:57.62" personId="{4A2A4441-067B-4294-B1DF-CC355F66F201}" id="{B2C3F13A-95A5-4EA3-9F69-181B3EFA5451}">
    <text>Bank Payment of £675.00 consisting of £650 routine work, plus £25.00 ad hoc to replace damaged slab in Big Rec, paid on 03/09/25.</text>
  </threadedComment>
  <threadedComment ref="M80" dT="2025-11-23T10:33:11.11" personId="{4A2A4441-067B-4294-B1DF-CC355F66F201}" id="{82609858-DBC7-43E9-AF5A-2B9B9EA6BFB0}">
    <text>Bank Payment 06/11/25 to Stephen Land for clearing the Cobbled Path.</text>
  </threadedComment>
  <threadedComment ref="G84" dT="2025-11-23T16:21:52.19" personId="{4A2A4441-067B-4294-B1DF-CC355F66F201}" id="{836B680F-0A1E-4B12-A1EC-493C4D1A2D97}">
    <text>Bank Payment to Parsons for April and May cutting £2,016.44 on 14/05/25.</text>
  </threadedComment>
  <threadedComment ref="I84" dT="2025-11-23T15:48:02.03" personId="{4A2A4441-067B-4294-B1DF-CC355F66F201}" id="{AB023D68-2D0F-40CC-A243-7A388456D679}">
    <text>2 Bank Payments for June and July Invoices £1,337.93+£1,196.40 totalling £2543.33, both paid on 09/07/25.</text>
  </threadedComment>
  <threadedComment ref="J84" dT="2025-11-23T15:03:37.08" personId="{4A2A4441-067B-4294-B1DF-CC355F66F201}" id="{A5F9F931-7F17-40B5-8A23-90360BC4B6C2}">
    <text>Bank Paid £944.81 to Parsons on 06/08/25.</text>
  </threadedComment>
  <threadedComment ref="L84" dT="2025-11-23T10:36:27.80" personId="{4A2A4441-067B-4294-B1DF-CC355F66F201}" id="{FF46648A-4845-48C5-A3E3-9A77C4222D0C}">
    <text>Bank Payment £1196.40 on 8th October.</text>
  </threadedComment>
  <threadedComment ref="M84" dT="2025-11-23T10:23:07.30" personId="{4A2A4441-067B-4294-B1DF-CC355F66F201}" id="{5DCE6385-C340-4E41-882C-CDFA094732D9}">
    <text>Bank Payment £944.81 on 25/11/25 to Parsons.</text>
  </threadedComment>
  <threadedComment ref="J89" dT="2025-11-23T15:10:01.52" personId="{4A2A4441-067B-4294-B1DF-CC355F66F201}" id="{EF0CE4FE-C66C-4ACF-9482-31613937E34D}">
    <text>Bank Payment of £1,324.80 for safety inspection on 06/08/25.</text>
  </threadedComment>
  <threadedComment ref="G96" dT="2025-11-23T16:15:29.33" personId="{4A2A4441-067B-4294-B1DF-CC355F66F201}" id="{D4BCB5C5-068D-4279-AE3D-0F29F97210F8}">
    <text>Bank Payment of £3,250.00 to Silverton Evangelical Church for Youth Worker £3,250.00 on 14/05/25.</text>
  </threadedComment>
  <threadedComment ref="B100" dT="2025-01-09T23:49:11.09" personId="{4A2A4441-067B-4294-B1DF-CC355F66F201}" id="{147BDE6F-DE76-4814-9359-64F82885B970}">
    <text>Lime Avenue Regeneration, other Tree Planting  and Maintenance</text>
  </threadedComment>
  <threadedComment ref="G100" dT="2025-11-23T16:27:14.81" personId="{4A2A4441-067B-4294-B1DF-CC355F66F201}" id="{6FD2C5E5-D9CC-417F-9362-3FC51E2E2955}">
    <text>Bank Payment of £924.00 to Hi Line for Berry Tree Risk Assessment (£504.00) and Big Rec Tree Assessment (£420) on 14/05/25.</text>
  </threadedComment>
  <threadedComment ref="G101" dT="2025-11-23T16:27:34.19" personId="{4A2A4441-067B-4294-B1DF-CC355F66F201}" id="{B9AC458D-D987-4F95-BB98-A162383FC5D5}">
    <text xml:space="preserve">Bank Payment of £924.00 to Hi Line for Berry Tree Risk Assessment (£504.00) and Big Rec Tree Assessment (£420) on 14/05/25.
</text>
  </threadedComment>
  <threadedComment ref="B107" dT="2025-01-09T16:01:52.52" personId="{4A2A4441-067B-4294-B1DF-CC355F66F201}" id="{3EF4A223-BBA4-4A1F-9B93-99898EFFB95F}">
    <text>Fire Station, Bus Shelters, Gazebo, Tennis Hut, War Memorial, Additional Traffic Signs and Lighting, Flagpole (via RBL), Equipment other than on Big Rec.  To be reviewed in 25/26 - consider splitting into other funds.</text>
  </threadedComment>
  <threadedComment ref="G107" dT="2025-11-23T16:25:19.92" personId="{4A2A4441-067B-4294-B1DF-CC355F66F201}" id="{F704D154-BE39-42BF-B5D9-1ACCAA4CBB6C}">
    <text>Bank Payment of £200.00 to Paul Gawen for Bus Shelter roof leak fix on 14/05/25.</text>
  </threadedComment>
  <threadedComment ref="L111" dT="2025-11-23T11:22:28.77" personId="{4A2A4441-067B-4294-B1DF-CC355F66F201}" id="{7DA2CD19-BDDF-4457-8DC0-CEAE5731E645}">
    <text xml:space="preserve">Total £922.78 Bank Payment. consisting of Pay £746.40+£26.00 Allowance = £772.40; in same payment was £2.50 for Card, and defibrillator for £119.99.  This totals £894.89, leaving a missing item of £27.89 to be accounted for.
</text>
  </threadedComment>
  <threadedComment ref="F133" dT="2025-11-23T10:42:45.93" personId="{4A2A4441-067B-4294-B1DF-CC355F66F201}" id="{5C491835-5CED-428A-8A41-B9B41C19D9BC}">
    <text>Received early in financial year.  Exact Date not known.</text>
  </threadedComment>
  <threadedComment ref="L133" dT="2025-11-23T10:42:45.93" personId="{4A2A4441-067B-4294-B1DF-CC355F66F201}" id="{506711BA-5160-43CD-9429-F96026AA13FE}">
    <text>Received 06/10/25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4.xm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D1278-C37E-46B8-A59A-5A765B3174BF}">
  <dimension ref="B1:D13"/>
  <sheetViews>
    <sheetView showGridLines="0" workbookViewId="0">
      <selection activeCell="D10" sqref="D10"/>
    </sheetView>
  </sheetViews>
  <sheetFormatPr defaultRowHeight="13.2" x14ac:dyDescent="0.25"/>
  <cols>
    <col min="1" max="1" width="3" customWidth="1"/>
    <col min="2" max="2" width="13.77734375" customWidth="1"/>
    <col min="3" max="3" width="11.88671875" customWidth="1"/>
  </cols>
  <sheetData>
    <row r="1" spans="2:4" x14ac:dyDescent="0.25">
      <c r="B1" t="s">
        <v>115</v>
      </c>
    </row>
    <row r="2" spans="2:4" x14ac:dyDescent="0.25">
      <c r="B2" s="53" t="s">
        <v>116</v>
      </c>
      <c r="C2" s="51">
        <v>82.16</v>
      </c>
      <c r="D2" s="15" t="s">
        <v>122</v>
      </c>
    </row>
    <row r="3" spans="2:4" x14ac:dyDescent="0.25">
      <c r="B3" s="53" t="s">
        <v>117</v>
      </c>
      <c r="C3" s="51">
        <v>61.72</v>
      </c>
      <c r="D3" s="15" t="s">
        <v>118</v>
      </c>
    </row>
    <row r="4" spans="2:4" x14ac:dyDescent="0.25">
      <c r="B4" s="53" t="s">
        <v>119</v>
      </c>
      <c r="C4" s="51">
        <v>49835.08</v>
      </c>
    </row>
    <row r="7" spans="2:4" x14ac:dyDescent="0.25">
      <c r="B7" s="15" t="s">
        <v>128</v>
      </c>
    </row>
    <row r="8" spans="2:4" x14ac:dyDescent="0.25">
      <c r="B8" s="53" t="s">
        <v>121</v>
      </c>
      <c r="C8" s="51">
        <v>40.42</v>
      </c>
    </row>
    <row r="9" spans="2:4" x14ac:dyDescent="0.25">
      <c r="B9" s="53" t="s">
        <v>120</v>
      </c>
      <c r="C9" s="51">
        <v>48.49</v>
      </c>
    </row>
    <row r="10" spans="2:4" x14ac:dyDescent="0.25">
      <c r="B10" s="53" t="s">
        <v>117</v>
      </c>
      <c r="C10" s="51">
        <v>61.72</v>
      </c>
    </row>
    <row r="11" spans="2:4" x14ac:dyDescent="0.25">
      <c r="B11" s="53" t="s">
        <v>125</v>
      </c>
      <c r="C11" s="51">
        <v>73.67</v>
      </c>
    </row>
    <row r="12" spans="2:4" x14ac:dyDescent="0.25">
      <c r="B12" s="53" t="s">
        <v>123</v>
      </c>
      <c r="C12" s="51">
        <v>82.18</v>
      </c>
    </row>
    <row r="13" spans="2:4" x14ac:dyDescent="0.25">
      <c r="B13" s="53" t="s">
        <v>124</v>
      </c>
      <c r="C13" s="51">
        <v>145.12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61F3-D1EC-4A5D-885A-B2E959AF56DF}">
  <sheetPr>
    <tabColor theme="0" tint="-0.14999847407452621"/>
  </sheetPr>
  <dimension ref="A1:M113"/>
  <sheetViews>
    <sheetView showGridLines="0" zoomScaleNormal="100" workbookViewId="0">
      <pane xSplit="1" ySplit="2" topLeftCell="B73" activePane="bottomRight" state="frozenSplit"/>
      <selection pane="topRight" activeCell="B1" sqref="B1"/>
      <selection pane="bottomLeft" activeCell="A4" sqref="A4"/>
      <selection pane="bottomRight" activeCell="G85" sqref="G85"/>
    </sheetView>
  </sheetViews>
  <sheetFormatPr defaultColWidth="8.77734375" defaultRowHeight="13.2" outlineLevelCol="1" x14ac:dyDescent="0.25"/>
  <cols>
    <col min="1" max="1" width="63.33203125" style="77" customWidth="1"/>
    <col min="2" max="2" width="8.77734375" style="77" customWidth="1"/>
    <col min="3" max="3" width="9.109375" style="77" customWidth="1"/>
    <col min="4" max="4" width="2.44140625" style="77" customWidth="1"/>
    <col min="5" max="5" width="10.44140625" style="77" customWidth="1" outlineLevel="1"/>
    <col min="6" max="6" width="8.33203125" style="77" customWidth="1" outlineLevel="1"/>
    <col min="7" max="7" width="9" style="77" customWidth="1"/>
    <col min="8" max="8" width="2.88671875" style="77" customWidth="1"/>
    <col min="9" max="9" width="10.44140625" style="77" bestFit="1" customWidth="1"/>
    <col min="10" max="10" width="2.44140625" style="77" customWidth="1"/>
    <col min="11" max="11" width="8.5546875" style="93" customWidth="1"/>
    <col min="12" max="12" width="10.44140625" style="77" bestFit="1" customWidth="1"/>
    <col min="13" max="13" width="89.6640625" style="49" customWidth="1"/>
    <col min="14" max="16384" width="8.77734375" style="77"/>
  </cols>
  <sheetData>
    <row r="1" spans="1:13" x14ac:dyDescent="0.25">
      <c r="A1" s="76"/>
      <c r="C1" s="328" t="s">
        <v>96</v>
      </c>
      <c r="D1" s="328"/>
      <c r="E1" s="328"/>
      <c r="F1" s="328"/>
      <c r="G1" s="328"/>
      <c r="H1" s="78"/>
      <c r="I1" s="79" t="s">
        <v>62</v>
      </c>
      <c r="K1" s="80" t="s">
        <v>99</v>
      </c>
      <c r="L1" s="81" t="s">
        <v>100</v>
      </c>
      <c r="M1" s="47" t="s">
        <v>163</v>
      </c>
    </row>
    <row r="2" spans="1:13" s="49" customFormat="1" ht="39.6" x14ac:dyDescent="0.25">
      <c r="A2" s="47" t="s">
        <v>184</v>
      </c>
      <c r="B2" s="48"/>
      <c r="C2" s="47" t="s">
        <v>94</v>
      </c>
      <c r="D2" s="47"/>
      <c r="E2" s="47" t="s">
        <v>95</v>
      </c>
      <c r="F2" s="47" t="s">
        <v>97</v>
      </c>
      <c r="G2" s="47" t="s">
        <v>111</v>
      </c>
      <c r="H2" s="47"/>
      <c r="I2" s="47" t="s">
        <v>98</v>
      </c>
      <c r="K2" s="50" t="s">
        <v>130</v>
      </c>
      <c r="L2" s="47" t="s">
        <v>131</v>
      </c>
      <c r="M2" s="49">
        <f>+M16*0.15</f>
        <v>913.8</v>
      </c>
    </row>
    <row r="3" spans="1:13" s="49" customFormat="1" ht="15.6" x14ac:dyDescent="0.25">
      <c r="A3" s="65" t="s">
        <v>182</v>
      </c>
      <c r="B3" s="62"/>
      <c r="C3" s="61"/>
      <c r="D3" s="61"/>
      <c r="E3" s="61"/>
      <c r="F3" s="61"/>
      <c r="G3" s="61"/>
      <c r="H3" s="61"/>
      <c r="I3" s="61"/>
      <c r="J3" s="63"/>
      <c r="K3" s="64"/>
      <c r="L3" s="61"/>
      <c r="M3" s="63"/>
    </row>
    <row r="4" spans="1:13" s="49" customFormat="1" ht="13.8" x14ac:dyDescent="0.25">
      <c r="A4" s="56" t="s">
        <v>176</v>
      </c>
      <c r="B4" s="57"/>
      <c r="C4" s="58"/>
      <c r="D4" s="58"/>
      <c r="E4" s="58"/>
      <c r="F4" s="58"/>
      <c r="G4" s="58"/>
      <c r="H4" s="58"/>
      <c r="I4" s="58"/>
      <c r="J4" s="82"/>
      <c r="K4" s="59"/>
      <c r="L4" s="60"/>
      <c r="M4" s="60"/>
    </row>
    <row r="5" spans="1:13" ht="24.6" customHeight="1" x14ac:dyDescent="0.25">
      <c r="A5" s="83" t="s">
        <v>14</v>
      </c>
      <c r="B5" s="84"/>
      <c r="C5" s="84">
        <v>15000</v>
      </c>
      <c r="D5" s="84"/>
      <c r="E5" s="228">
        <v>7283.44</v>
      </c>
      <c r="F5" s="229">
        <f>+'Anticipated spend to End Year'!E13</f>
        <v>1389</v>
      </c>
      <c r="G5" s="85">
        <f>+ROUND(F5+E5,0)</f>
        <v>8672</v>
      </c>
      <c r="H5" s="87"/>
      <c r="I5" s="88">
        <f>10564*1.05</f>
        <v>11092.2</v>
      </c>
      <c r="J5" s="87"/>
      <c r="K5" s="85">
        <f>+G5-C5</f>
        <v>-6328</v>
      </c>
      <c r="L5" s="84">
        <f>+I5-C5</f>
        <v>-3907.7999999999993</v>
      </c>
      <c r="M5" s="69" t="s">
        <v>151</v>
      </c>
    </row>
    <row r="6" spans="1:13" ht="13.8" x14ac:dyDescent="0.25">
      <c r="A6" s="83" t="s">
        <v>190</v>
      </c>
      <c r="B6" s="84"/>
      <c r="C6" s="84">
        <v>0</v>
      </c>
      <c r="D6" s="84"/>
      <c r="E6" s="228">
        <v>0</v>
      </c>
      <c r="F6" s="229">
        <v>240</v>
      </c>
      <c r="G6" s="85">
        <f>(16.93*12*52)-G5</f>
        <v>1892.3199999999997</v>
      </c>
      <c r="H6" s="87"/>
      <c r="I6" s="88">
        <v>0</v>
      </c>
      <c r="J6" s="87"/>
      <c r="K6" s="85">
        <f>16.93*12*52</f>
        <v>10564.32</v>
      </c>
      <c r="L6" s="84">
        <f>+I6-C6</f>
        <v>0</v>
      </c>
      <c r="M6" s="69" t="s">
        <v>191</v>
      </c>
    </row>
    <row r="7" spans="1:13" ht="13.8" x14ac:dyDescent="0.25">
      <c r="A7" s="83" t="s">
        <v>141</v>
      </c>
      <c r="B7" s="84"/>
      <c r="C7" s="84">
        <v>0</v>
      </c>
      <c r="D7" s="84"/>
      <c r="E7" s="228">
        <v>2122.14</v>
      </c>
      <c r="F7" s="229">
        <v>0</v>
      </c>
      <c r="G7" s="85">
        <v>2250</v>
      </c>
      <c r="H7" s="87"/>
      <c r="I7" s="88">
        <v>3500</v>
      </c>
      <c r="J7" s="87"/>
      <c r="K7" s="85">
        <f t="shared" ref="K7:K36" si="0">+G7-C7</f>
        <v>2250</v>
      </c>
      <c r="L7" s="84">
        <f t="shared" ref="L7:L36" si="1">+I7-C7</f>
        <v>3500</v>
      </c>
      <c r="M7" s="49" t="s">
        <v>142</v>
      </c>
    </row>
    <row r="8" spans="1:13" ht="13.8" x14ac:dyDescent="0.25">
      <c r="A8" s="83" t="s">
        <v>1</v>
      </c>
      <c r="B8" s="84"/>
      <c r="C8" s="84">
        <v>500</v>
      </c>
      <c r="D8" s="84"/>
      <c r="E8" s="228">
        <v>672.06</v>
      </c>
      <c r="F8" s="229">
        <f>75+258.72+160</f>
        <v>493.72</v>
      </c>
      <c r="G8" s="85">
        <f>+F8+E8</f>
        <v>1165.78</v>
      </c>
      <c r="H8" s="87"/>
      <c r="I8" s="88">
        <v>504</v>
      </c>
      <c r="J8" s="87"/>
      <c r="K8" s="85">
        <f t="shared" si="0"/>
        <v>665.78</v>
      </c>
      <c r="L8" s="84">
        <f t="shared" si="1"/>
        <v>4</v>
      </c>
      <c r="M8" s="69" t="s">
        <v>187</v>
      </c>
    </row>
    <row r="9" spans="1:13" s="91" customFormat="1" ht="13.8" x14ac:dyDescent="0.25">
      <c r="A9" s="83" t="s">
        <v>157</v>
      </c>
      <c r="B9" s="89"/>
      <c r="C9" s="87">
        <v>200</v>
      </c>
      <c r="D9" s="87"/>
      <c r="E9" s="85" t="s">
        <v>37</v>
      </c>
      <c r="F9" s="89">
        <v>0</v>
      </c>
      <c r="G9" s="90"/>
      <c r="H9" s="89"/>
      <c r="I9" s="89">
        <v>400</v>
      </c>
      <c r="J9" s="89"/>
      <c r="K9" s="88">
        <f>+G9-C9</f>
        <v>-200</v>
      </c>
      <c r="L9" s="84">
        <f>+I9-C9</f>
        <v>200</v>
      </c>
      <c r="M9" s="69" t="s">
        <v>188</v>
      </c>
    </row>
    <row r="10" spans="1:13" ht="13.8" x14ac:dyDescent="0.25">
      <c r="A10" s="83" t="s">
        <v>101</v>
      </c>
      <c r="B10" s="84"/>
      <c r="C10" s="87">
        <v>0</v>
      </c>
      <c r="D10" s="87"/>
      <c r="E10" s="88">
        <v>0</v>
      </c>
      <c r="F10" s="88">
        <f>+'Anticipated spend to End Year'!E23+100</f>
        <v>600</v>
      </c>
      <c r="G10" s="88">
        <f>+F10+E10</f>
        <v>600</v>
      </c>
      <c r="H10" s="84"/>
      <c r="I10" s="84">
        <v>200</v>
      </c>
      <c r="J10" s="84"/>
      <c r="K10" s="88">
        <f>+G10-C10</f>
        <v>600</v>
      </c>
      <c r="L10" s="84">
        <f t="shared" ref="L10" si="2">+I10-C10</f>
        <v>200</v>
      </c>
      <c r="M10" s="69" t="s">
        <v>189</v>
      </c>
    </row>
    <row r="11" spans="1:13" ht="13.8" x14ac:dyDescent="0.25">
      <c r="A11" s="83" t="s">
        <v>18</v>
      </c>
      <c r="B11" s="84"/>
      <c r="C11" s="84">
        <v>200</v>
      </c>
      <c r="D11" s="84"/>
      <c r="E11" s="88" t="s">
        <v>37</v>
      </c>
      <c r="F11" s="86">
        <v>0</v>
      </c>
      <c r="G11" s="88">
        <v>160</v>
      </c>
      <c r="H11" s="84"/>
      <c r="I11" s="88">
        <v>160</v>
      </c>
      <c r="J11" s="84"/>
      <c r="K11" s="88">
        <f t="shared" si="0"/>
        <v>-40</v>
      </c>
      <c r="L11" s="88">
        <f>+I11-C11</f>
        <v>-40</v>
      </c>
      <c r="M11" s="69" t="s">
        <v>186</v>
      </c>
    </row>
    <row r="12" spans="1:13" ht="13.8" x14ac:dyDescent="0.25">
      <c r="A12" s="83" t="s">
        <v>136</v>
      </c>
      <c r="B12" s="84"/>
      <c r="C12" s="84">
        <v>0</v>
      </c>
      <c r="D12" s="84"/>
      <c r="E12" s="88">
        <v>0</v>
      </c>
      <c r="F12" s="84">
        <v>0</v>
      </c>
      <c r="G12" s="88">
        <f>+F12+E12</f>
        <v>0</v>
      </c>
      <c r="H12" s="84"/>
      <c r="I12" s="88">
        <v>582</v>
      </c>
      <c r="J12" s="84"/>
      <c r="K12" s="88">
        <f>+G12-C12</f>
        <v>0</v>
      </c>
      <c r="L12" s="88">
        <f>+I12-C12</f>
        <v>582</v>
      </c>
      <c r="M12" s="49" t="s">
        <v>135</v>
      </c>
    </row>
    <row r="13" spans="1:13" ht="13.8" x14ac:dyDescent="0.25">
      <c r="A13" s="83" t="s">
        <v>149</v>
      </c>
      <c r="B13" s="84"/>
      <c r="C13" s="84">
        <v>0</v>
      </c>
      <c r="D13" s="84"/>
      <c r="E13" s="88">
        <v>0</v>
      </c>
      <c r="F13" s="84">
        <v>0</v>
      </c>
      <c r="G13" s="88">
        <f>+F13+E13</f>
        <v>0</v>
      </c>
      <c r="H13" s="84"/>
      <c r="I13" s="88">
        <f>+ROUND(G13*104.1%,0)</f>
        <v>0</v>
      </c>
      <c r="J13" s="84"/>
      <c r="K13" s="88">
        <f>+G13-C13</f>
        <v>0</v>
      </c>
      <c r="L13" s="88">
        <f>+I13-C13</f>
        <v>0</v>
      </c>
      <c r="M13" s="69" t="s">
        <v>148</v>
      </c>
    </row>
    <row r="14" spans="1:13" ht="13.8" x14ac:dyDescent="0.25">
      <c r="A14" s="83" t="s">
        <v>144</v>
      </c>
      <c r="B14" s="84"/>
      <c r="C14" s="84">
        <v>920.08</v>
      </c>
      <c r="D14" s="84"/>
      <c r="E14" s="88">
        <v>958.16</v>
      </c>
      <c r="F14" s="84">
        <v>0</v>
      </c>
      <c r="G14" s="88">
        <f>+F14+E14</f>
        <v>958.16</v>
      </c>
      <c r="H14" s="84"/>
      <c r="I14" s="88">
        <f>+ROUND(G14*104.1%,0)</f>
        <v>997</v>
      </c>
      <c r="J14" s="84"/>
      <c r="K14" s="88">
        <f>+G14-C14</f>
        <v>38.079999999999927</v>
      </c>
      <c r="L14" s="88">
        <f>+I14-C14</f>
        <v>76.919999999999959</v>
      </c>
      <c r="M14" s="49">
        <v>11092</v>
      </c>
    </row>
    <row r="15" spans="1:13" ht="13.8" x14ac:dyDescent="0.25">
      <c r="A15" s="83" t="s">
        <v>12</v>
      </c>
      <c r="B15" s="84"/>
      <c r="C15" s="84">
        <v>240</v>
      </c>
      <c r="D15" s="84"/>
      <c r="E15" s="88">
        <v>240</v>
      </c>
      <c r="F15" s="84">
        <v>0</v>
      </c>
      <c r="G15" s="88">
        <f>+ROUND(C15*104.1%,0)</f>
        <v>250</v>
      </c>
      <c r="H15" s="88"/>
      <c r="I15" s="88">
        <f>+ROUND(G15*104.1%,0)</f>
        <v>260</v>
      </c>
      <c r="J15" s="88"/>
      <c r="K15" s="88">
        <f t="shared" si="0"/>
        <v>10</v>
      </c>
      <c r="L15" s="88">
        <f t="shared" si="1"/>
        <v>20</v>
      </c>
      <c r="M15" s="49">
        <v>5000</v>
      </c>
    </row>
    <row r="16" spans="1:13" ht="13.8" x14ac:dyDescent="0.25">
      <c r="A16" s="83" t="s">
        <v>8</v>
      </c>
      <c r="B16" s="84"/>
      <c r="C16" s="84">
        <v>75</v>
      </c>
      <c r="D16" s="84"/>
      <c r="E16" s="88">
        <v>119</v>
      </c>
      <c r="F16" s="84">
        <v>0</v>
      </c>
      <c r="G16" s="88">
        <f>+F16+E16</f>
        <v>119</v>
      </c>
      <c r="H16" s="88"/>
      <c r="I16" s="88">
        <f>+ROUND(G16*104.1%,0)</f>
        <v>124</v>
      </c>
      <c r="J16" s="88"/>
      <c r="K16" s="88">
        <f>+G16-C16</f>
        <v>44</v>
      </c>
      <c r="L16" s="88">
        <f>+I16-C16</f>
        <v>49</v>
      </c>
      <c r="M16" s="49">
        <f>+M14-M15</f>
        <v>6092</v>
      </c>
    </row>
    <row r="17" spans="1:13" ht="13.8" x14ac:dyDescent="0.25">
      <c r="A17" s="83" t="s">
        <v>36</v>
      </c>
      <c r="B17" s="84"/>
      <c r="C17" s="84">
        <v>450</v>
      </c>
      <c r="D17" s="84"/>
      <c r="E17" s="88">
        <v>252.99</v>
      </c>
      <c r="F17" s="84">
        <v>0</v>
      </c>
      <c r="G17" s="88">
        <f>+F17+E17</f>
        <v>252.99</v>
      </c>
      <c r="H17" s="88"/>
      <c r="I17" s="88">
        <v>450</v>
      </c>
      <c r="J17" s="88"/>
      <c r="K17" s="88">
        <f>+G17-C17</f>
        <v>-197.01</v>
      </c>
      <c r="L17" s="88">
        <f>+I17-C17</f>
        <v>0</v>
      </c>
      <c r="M17" s="69" t="s">
        <v>145</v>
      </c>
    </row>
    <row r="18" spans="1:13" ht="13.8" x14ac:dyDescent="0.25">
      <c r="A18" s="83" t="s">
        <v>133</v>
      </c>
      <c r="B18" s="84"/>
      <c r="C18" s="84">
        <v>7500</v>
      </c>
      <c r="D18" s="84"/>
      <c r="E18" s="88">
        <v>6250</v>
      </c>
      <c r="F18" s="84">
        <f>+'Anticipated spend to End Year'!E15</f>
        <v>1250</v>
      </c>
      <c r="G18" s="88">
        <f>+F18+E18</f>
        <v>7500</v>
      </c>
      <c r="H18" s="88"/>
      <c r="I18" s="88">
        <f>+ROUND(G18*104.1%,0)</f>
        <v>7808</v>
      </c>
      <c r="J18" s="88"/>
      <c r="K18" s="88">
        <f t="shared" si="0"/>
        <v>0</v>
      </c>
      <c r="L18" s="88">
        <f t="shared" si="1"/>
        <v>308</v>
      </c>
      <c r="M18" s="49" t="s">
        <v>113</v>
      </c>
    </row>
    <row r="19" spans="1:13" ht="13.8" x14ac:dyDescent="0.25">
      <c r="A19" s="83" t="s">
        <v>134</v>
      </c>
      <c r="B19" s="84"/>
      <c r="C19" s="84">
        <v>500</v>
      </c>
      <c r="D19" s="84"/>
      <c r="E19" s="88">
        <v>30</v>
      </c>
      <c r="F19" s="84">
        <f>+'Anticipated spend to End Year'!E17</f>
        <v>400</v>
      </c>
      <c r="G19" s="88">
        <v>500</v>
      </c>
      <c r="H19" s="88"/>
      <c r="I19" s="88">
        <f>+ROUND(G19*104.1%,0)</f>
        <v>521</v>
      </c>
      <c r="J19" s="88"/>
      <c r="K19" s="88">
        <f t="shared" si="0"/>
        <v>0</v>
      </c>
      <c r="L19" s="88">
        <f t="shared" si="1"/>
        <v>21</v>
      </c>
    </row>
    <row r="20" spans="1:13" ht="13.8" x14ac:dyDescent="0.25">
      <c r="A20" s="83" t="s">
        <v>22</v>
      </c>
      <c r="B20" s="84"/>
      <c r="C20" s="84">
        <v>8500</v>
      </c>
      <c r="D20" s="84"/>
      <c r="E20" s="88">
        <v>5410.26</v>
      </c>
      <c r="F20" s="88">
        <f>+E20/9*3</f>
        <v>1803.42</v>
      </c>
      <c r="G20" s="88">
        <f t="shared" ref="G20:G36" si="3">+F20+E20</f>
        <v>7213.68</v>
      </c>
      <c r="H20" s="88"/>
      <c r="I20" s="186">
        <v>7250</v>
      </c>
      <c r="J20" s="88"/>
      <c r="K20" s="88">
        <f t="shared" si="0"/>
        <v>-1286.3199999999997</v>
      </c>
      <c r="L20" s="88">
        <f t="shared" si="1"/>
        <v>-1250</v>
      </c>
    </row>
    <row r="21" spans="1:13" ht="13.8" x14ac:dyDescent="0.25">
      <c r="A21" s="83" t="s">
        <v>146</v>
      </c>
      <c r="B21" s="84"/>
      <c r="C21" s="84">
        <v>1500</v>
      </c>
      <c r="D21" s="84"/>
      <c r="E21" s="85">
        <v>0</v>
      </c>
      <c r="F21" s="88">
        <f>+'Anticipated spend to End Year'!E19</f>
        <v>1500</v>
      </c>
      <c r="G21" s="88">
        <f>+F21+E21</f>
        <v>1500</v>
      </c>
      <c r="H21" s="84"/>
      <c r="I21" s="84">
        <f>+ROUND(G21*104.1%,0)</f>
        <v>1562</v>
      </c>
      <c r="J21" s="84"/>
      <c r="K21" s="88">
        <f>+G21-C21</f>
        <v>0</v>
      </c>
      <c r="L21" s="84">
        <f>+I21-C21</f>
        <v>62</v>
      </c>
      <c r="M21" s="69" t="s">
        <v>147</v>
      </c>
    </row>
    <row r="22" spans="1:13" ht="13.8" x14ac:dyDescent="0.25">
      <c r="A22" s="83" t="s">
        <v>139</v>
      </c>
      <c r="B22" s="84"/>
      <c r="C22" s="84">
        <v>0</v>
      </c>
      <c r="D22" s="84"/>
      <c r="E22" s="88">
        <v>0</v>
      </c>
      <c r="F22" s="84">
        <v>0</v>
      </c>
      <c r="G22" s="88">
        <f t="shared" si="3"/>
        <v>0</v>
      </c>
      <c r="H22" s="84"/>
      <c r="I22" s="84">
        <v>250</v>
      </c>
      <c r="J22" s="84"/>
      <c r="K22" s="88">
        <f t="shared" ref="K22" si="4">+G22-C22</f>
        <v>0</v>
      </c>
      <c r="L22" s="84">
        <f t="shared" ref="L22" si="5">+I22-C22</f>
        <v>250</v>
      </c>
      <c r="M22" s="49" t="s">
        <v>140</v>
      </c>
    </row>
    <row r="23" spans="1:13" ht="13.8" x14ac:dyDescent="0.25">
      <c r="A23" s="83" t="s">
        <v>150</v>
      </c>
      <c r="B23" s="84"/>
      <c r="C23" s="84">
        <v>800</v>
      </c>
      <c r="D23" s="84"/>
      <c r="E23" s="88">
        <v>0</v>
      </c>
      <c r="F23" s="84">
        <v>800</v>
      </c>
      <c r="G23" s="88">
        <f t="shared" si="3"/>
        <v>800</v>
      </c>
      <c r="H23" s="84"/>
      <c r="I23" s="84">
        <f>+ROUND(G23*104.1%,0)</f>
        <v>833</v>
      </c>
      <c r="J23" s="84"/>
      <c r="K23" s="88">
        <f t="shared" si="0"/>
        <v>0</v>
      </c>
      <c r="L23" s="84">
        <f t="shared" si="1"/>
        <v>33</v>
      </c>
    </row>
    <row r="24" spans="1:13" ht="13.8" x14ac:dyDescent="0.25">
      <c r="A24" s="83" t="s">
        <v>7</v>
      </c>
      <c r="B24" s="84"/>
      <c r="C24" s="84">
        <v>200</v>
      </c>
      <c r="D24" s="84"/>
      <c r="E24" s="85">
        <v>0</v>
      </c>
      <c r="F24" s="84">
        <v>200</v>
      </c>
      <c r="G24" s="88">
        <f>+F24+E24</f>
        <v>200</v>
      </c>
      <c r="H24" s="84"/>
      <c r="I24" s="84">
        <v>250</v>
      </c>
      <c r="J24" s="84"/>
      <c r="K24" s="88">
        <f>+G24-C24</f>
        <v>0</v>
      </c>
      <c r="L24" s="84">
        <f>+I24-C24</f>
        <v>50</v>
      </c>
    </row>
    <row r="25" spans="1:13" ht="13.8" x14ac:dyDescent="0.25">
      <c r="A25" s="83" t="s">
        <v>13</v>
      </c>
      <c r="B25" s="84"/>
      <c r="C25" s="84">
        <v>30</v>
      </c>
      <c r="D25" s="84"/>
      <c r="E25" s="88">
        <v>30</v>
      </c>
      <c r="F25" s="84">
        <v>0</v>
      </c>
      <c r="G25" s="88">
        <f t="shared" si="3"/>
        <v>30</v>
      </c>
      <c r="H25" s="84"/>
      <c r="I25" s="84">
        <f>+ROUND(G25*104.1%,0)</f>
        <v>31</v>
      </c>
      <c r="J25" s="84"/>
      <c r="K25" s="88">
        <f t="shared" si="0"/>
        <v>0</v>
      </c>
      <c r="L25" s="84">
        <f t="shared" si="1"/>
        <v>1</v>
      </c>
    </row>
    <row r="26" spans="1:13" ht="13.8" x14ac:dyDescent="0.25">
      <c r="A26" s="83" t="s">
        <v>15</v>
      </c>
      <c r="B26" s="84"/>
      <c r="C26" s="84">
        <v>250</v>
      </c>
      <c r="D26" s="84"/>
      <c r="E26" s="88">
        <v>250</v>
      </c>
      <c r="F26" s="84">
        <v>0</v>
      </c>
      <c r="G26" s="88">
        <f t="shared" si="3"/>
        <v>250</v>
      </c>
      <c r="H26" s="84"/>
      <c r="I26" s="84">
        <f t="shared" ref="I26:I29" si="6">+ROUND(G26*104.1%,0)</f>
        <v>260</v>
      </c>
      <c r="J26" s="84"/>
      <c r="K26" s="88">
        <f t="shared" si="0"/>
        <v>0</v>
      </c>
      <c r="L26" s="84">
        <f t="shared" si="1"/>
        <v>10</v>
      </c>
    </row>
    <row r="27" spans="1:13" ht="13.8" x14ac:dyDescent="0.25">
      <c r="A27" s="83" t="s">
        <v>20</v>
      </c>
      <c r="B27" s="84"/>
      <c r="C27" s="87">
        <v>500</v>
      </c>
      <c r="D27" s="87"/>
      <c r="E27" s="88">
        <v>0</v>
      </c>
      <c r="F27" s="88">
        <f>+'Anticipated spend to End Year'!E21</f>
        <v>500</v>
      </c>
      <c r="G27" s="88">
        <f>+F27+E27</f>
        <v>500</v>
      </c>
      <c r="H27" s="84"/>
      <c r="I27" s="84">
        <f t="shared" ref="I27" si="7">+ROUND(G27*104.1%,0)</f>
        <v>521</v>
      </c>
      <c r="J27" s="84"/>
      <c r="K27" s="88">
        <f>+G27-C27</f>
        <v>0</v>
      </c>
      <c r="L27" s="84">
        <f>+I27-C27</f>
        <v>21</v>
      </c>
      <c r="M27" s="69" t="s">
        <v>160</v>
      </c>
    </row>
    <row r="28" spans="1:13" ht="13.8" x14ac:dyDescent="0.25">
      <c r="A28" s="83" t="s">
        <v>153</v>
      </c>
      <c r="B28" s="84"/>
      <c r="C28" s="84">
        <v>2000</v>
      </c>
      <c r="D28" s="84"/>
      <c r="E28" s="88">
        <v>0</v>
      </c>
      <c r="F28" s="84">
        <v>0</v>
      </c>
      <c r="G28" s="88">
        <f t="shared" si="3"/>
        <v>0</v>
      </c>
      <c r="H28" s="84"/>
      <c r="I28" s="84">
        <v>1700</v>
      </c>
      <c r="J28" s="84"/>
      <c r="K28" s="88">
        <f t="shared" si="0"/>
        <v>-2000</v>
      </c>
      <c r="L28" s="84">
        <f t="shared" si="1"/>
        <v>-300</v>
      </c>
      <c r="M28" s="69" t="s">
        <v>152</v>
      </c>
    </row>
    <row r="29" spans="1:13" ht="13.8" x14ac:dyDescent="0.25">
      <c r="A29" s="83" t="s">
        <v>154</v>
      </c>
      <c r="B29" s="84"/>
      <c r="C29" s="84">
        <v>250</v>
      </c>
      <c r="D29" s="84"/>
      <c r="E29" s="88">
        <v>0</v>
      </c>
      <c r="F29" s="84">
        <f>+'Anticipated spend to End Year'!E18</f>
        <v>250</v>
      </c>
      <c r="G29" s="88">
        <f t="shared" si="3"/>
        <v>250</v>
      </c>
      <c r="H29" s="84"/>
      <c r="I29" s="84">
        <f t="shared" si="6"/>
        <v>260</v>
      </c>
      <c r="J29" s="84"/>
      <c r="K29" s="88">
        <f t="shared" si="0"/>
        <v>0</v>
      </c>
      <c r="L29" s="84">
        <f t="shared" si="1"/>
        <v>10</v>
      </c>
    </row>
    <row r="30" spans="1:13" s="78" customFormat="1" ht="13.8" x14ac:dyDescent="0.25">
      <c r="A30" s="83" t="s">
        <v>155</v>
      </c>
      <c r="B30" s="87"/>
      <c r="C30" s="87">
        <v>5000</v>
      </c>
      <c r="D30" s="85"/>
      <c r="E30" s="85">
        <v>22.5</v>
      </c>
      <c r="F30" s="84"/>
      <c r="G30" s="88">
        <f t="shared" si="3"/>
        <v>22.5</v>
      </c>
      <c r="H30" s="87"/>
      <c r="I30" s="84">
        <v>0</v>
      </c>
      <c r="J30" s="87"/>
      <c r="K30" s="88">
        <f t="shared" si="0"/>
        <v>-4977.5</v>
      </c>
      <c r="L30" s="84">
        <f t="shared" si="1"/>
        <v>-5000</v>
      </c>
      <c r="M30" s="69" t="s">
        <v>112</v>
      </c>
    </row>
    <row r="31" spans="1:13" s="91" customFormat="1" ht="13.8" x14ac:dyDescent="0.25">
      <c r="A31" s="83" t="s">
        <v>17</v>
      </c>
      <c r="B31" s="89"/>
      <c r="C31" s="87">
        <v>750</v>
      </c>
      <c r="D31" s="89"/>
      <c r="E31" s="85">
        <v>0</v>
      </c>
      <c r="F31" s="89">
        <v>0</v>
      </c>
      <c r="G31" s="88">
        <f t="shared" si="3"/>
        <v>0</v>
      </c>
      <c r="H31" s="89"/>
      <c r="I31" s="84">
        <v>500</v>
      </c>
      <c r="J31" s="89"/>
      <c r="K31" s="88">
        <f t="shared" si="0"/>
        <v>-750</v>
      </c>
      <c r="L31" s="84">
        <f t="shared" si="1"/>
        <v>-250</v>
      </c>
      <c r="M31" s="69" t="s">
        <v>156</v>
      </c>
    </row>
    <row r="32" spans="1:13" ht="13.8" x14ac:dyDescent="0.25">
      <c r="A32" s="83" t="s">
        <v>129</v>
      </c>
      <c r="B32" s="84"/>
      <c r="C32" s="87">
        <v>4000</v>
      </c>
      <c r="D32" s="87"/>
      <c r="E32" s="88">
        <v>595</v>
      </c>
      <c r="F32" s="87">
        <v>500</v>
      </c>
      <c r="G32" s="88">
        <f>+E32</f>
        <v>595</v>
      </c>
      <c r="H32" s="84"/>
      <c r="I32" s="87">
        <v>15000</v>
      </c>
      <c r="J32" s="84"/>
      <c r="K32" s="88">
        <f t="shared" si="0"/>
        <v>-3405</v>
      </c>
      <c r="L32" s="84">
        <f t="shared" si="1"/>
        <v>11000</v>
      </c>
      <c r="M32" s="69" t="s">
        <v>158</v>
      </c>
    </row>
    <row r="33" spans="1:13" ht="13.8" x14ac:dyDescent="0.25">
      <c r="A33" s="83" t="s">
        <v>11</v>
      </c>
      <c r="B33" s="84"/>
      <c r="C33" s="84">
        <v>420</v>
      </c>
      <c r="D33" s="84"/>
      <c r="E33" s="85">
        <v>504</v>
      </c>
      <c r="F33" s="84">
        <v>0</v>
      </c>
      <c r="G33" s="88">
        <f>+F33+E33</f>
        <v>504</v>
      </c>
      <c r="H33" s="84"/>
      <c r="I33" s="84">
        <v>600</v>
      </c>
      <c r="J33" s="84"/>
      <c r="K33" s="88">
        <f>+G33-C33</f>
        <v>84</v>
      </c>
      <c r="L33" s="84">
        <f>+I33-C33</f>
        <v>180</v>
      </c>
      <c r="M33" s="69" t="s">
        <v>159</v>
      </c>
    </row>
    <row r="34" spans="1:13" ht="13.8" x14ac:dyDescent="0.25">
      <c r="A34" s="83" t="s">
        <v>23</v>
      </c>
      <c r="B34" s="84"/>
      <c r="C34" s="87">
        <v>350</v>
      </c>
      <c r="D34" s="84"/>
      <c r="E34" s="85">
        <v>180.42</v>
      </c>
      <c r="F34" s="84">
        <f>+ROUND(E34/12*3,0)</f>
        <v>45</v>
      </c>
      <c r="G34" s="88">
        <f>+F34+E34</f>
        <v>225.42</v>
      </c>
      <c r="H34" s="84"/>
      <c r="I34" s="84">
        <f>+ROUND(G34*104.1%,0)</f>
        <v>235</v>
      </c>
      <c r="J34" s="84"/>
      <c r="K34" s="88">
        <f>+G34-C34</f>
        <v>-124.58000000000001</v>
      </c>
      <c r="L34" s="84">
        <f>+I34-C34</f>
        <v>-115</v>
      </c>
    </row>
    <row r="35" spans="1:13" ht="13.8" x14ac:dyDescent="0.25">
      <c r="A35" s="83" t="s">
        <v>21</v>
      </c>
      <c r="B35" s="84"/>
      <c r="C35" s="87">
        <v>500</v>
      </c>
      <c r="D35" s="87"/>
      <c r="E35" s="85" t="s">
        <v>37</v>
      </c>
      <c r="F35" s="84">
        <v>0</v>
      </c>
      <c r="G35" s="90">
        <v>0</v>
      </c>
      <c r="H35" s="84"/>
      <c r="I35" s="87">
        <v>0</v>
      </c>
      <c r="J35" s="84"/>
      <c r="K35" s="88">
        <f t="shared" si="0"/>
        <v>-500</v>
      </c>
      <c r="L35" s="84">
        <f t="shared" si="1"/>
        <v>-500</v>
      </c>
      <c r="M35" s="69" t="s">
        <v>185</v>
      </c>
    </row>
    <row r="36" spans="1:13" ht="13.8" x14ac:dyDescent="0.25">
      <c r="A36" s="83" t="s">
        <v>26</v>
      </c>
      <c r="B36" s="84"/>
      <c r="C36" s="87">
        <v>200</v>
      </c>
      <c r="D36" s="87"/>
      <c r="E36" s="88">
        <v>0</v>
      </c>
      <c r="F36" s="88">
        <f>+'Anticipated spend to End Year'!E20</f>
        <v>200</v>
      </c>
      <c r="G36" s="88">
        <f t="shared" si="3"/>
        <v>200</v>
      </c>
      <c r="H36" s="84"/>
      <c r="I36" s="84">
        <f>13*2.5*8</f>
        <v>260</v>
      </c>
      <c r="J36" s="84"/>
      <c r="K36" s="88">
        <f t="shared" si="0"/>
        <v>0</v>
      </c>
      <c r="L36" s="84">
        <f t="shared" si="1"/>
        <v>60</v>
      </c>
      <c r="M36" s="69" t="s">
        <v>161</v>
      </c>
    </row>
    <row r="37" spans="1:13" ht="13.8" x14ac:dyDescent="0.25">
      <c r="A37" s="92"/>
      <c r="C37" s="78"/>
      <c r="D37" s="78"/>
      <c r="E37" s="93"/>
      <c r="G37" s="93"/>
      <c r="I37" s="78"/>
    </row>
    <row r="38" spans="1:13" ht="13.8" x14ac:dyDescent="0.25">
      <c r="A38" s="94" t="s">
        <v>177</v>
      </c>
      <c r="B38" s="81"/>
      <c r="C38" s="95">
        <f>SUM(C5:C36)</f>
        <v>50835.08</v>
      </c>
      <c r="D38" s="96"/>
      <c r="E38" s="95">
        <f>SUM(E5:E37)</f>
        <v>24919.97</v>
      </c>
      <c r="F38" s="95">
        <f>SUM(F5:F37)</f>
        <v>10171.14</v>
      </c>
      <c r="G38" s="95">
        <f>SUM(G5:G37)</f>
        <v>36610.85</v>
      </c>
      <c r="H38" s="97"/>
      <c r="I38" s="95">
        <f>SUM(I5:I37)</f>
        <v>56110.2</v>
      </c>
      <c r="J38" s="97"/>
      <c r="K38" s="95">
        <f>SUM(K5:K37)</f>
        <v>-5552.2300000000005</v>
      </c>
      <c r="L38" s="98">
        <f>SUM(L5:L37)</f>
        <v>5275.1200000000008</v>
      </c>
    </row>
    <row r="39" spans="1:13" ht="13.8" x14ac:dyDescent="0.25">
      <c r="A39" s="92"/>
      <c r="D39" s="81"/>
      <c r="M39" s="49">
        <f>3788+1833</f>
        <v>5621</v>
      </c>
    </row>
    <row r="40" spans="1:13" ht="16.2" customHeight="1" x14ac:dyDescent="0.25">
      <c r="A40" s="99" t="s">
        <v>178</v>
      </c>
      <c r="B40" s="100" t="s">
        <v>179</v>
      </c>
      <c r="C40" s="101"/>
      <c r="D40" s="102"/>
      <c r="E40" s="101"/>
      <c r="F40" s="101"/>
      <c r="G40" s="101"/>
      <c r="H40" s="101"/>
      <c r="I40" s="101"/>
      <c r="J40" s="101"/>
      <c r="K40" s="103"/>
    </row>
    <row r="41" spans="1:13" ht="13.8" x14ac:dyDescent="0.25">
      <c r="A41" s="104" t="s">
        <v>92</v>
      </c>
      <c r="B41" s="105"/>
      <c r="C41" s="105"/>
      <c r="D41" s="106"/>
      <c r="E41" s="105"/>
      <c r="F41" s="105"/>
      <c r="G41" s="105"/>
      <c r="H41" s="105"/>
      <c r="I41" s="105"/>
      <c r="J41" s="105"/>
      <c r="K41" s="107"/>
    </row>
    <row r="42" spans="1:13" ht="13.8" x14ac:dyDescent="0.25">
      <c r="A42" s="104" t="s">
        <v>57</v>
      </c>
      <c r="B42" s="108">
        <v>40</v>
      </c>
      <c r="C42" s="105"/>
      <c r="D42" s="105"/>
      <c r="E42" s="105"/>
      <c r="F42" s="105"/>
      <c r="G42" s="105"/>
      <c r="H42" s="105"/>
      <c r="I42" s="105">
        <f>+ROUND(B42*104.1%,0)</f>
        <v>42</v>
      </c>
      <c r="J42" s="105"/>
      <c r="K42" s="107"/>
    </row>
    <row r="43" spans="1:13" ht="13.8" x14ac:dyDescent="0.25">
      <c r="A43" s="104" t="s">
        <v>56</v>
      </c>
      <c r="B43" s="108">
        <v>332</v>
      </c>
      <c r="C43" s="105"/>
      <c r="D43" s="105"/>
      <c r="E43" s="105"/>
      <c r="F43" s="105"/>
      <c r="G43" s="105"/>
      <c r="H43" s="105"/>
      <c r="I43" s="105">
        <v>0</v>
      </c>
      <c r="J43" s="105"/>
      <c r="K43" s="107"/>
    </row>
    <row r="44" spans="1:13" ht="13.8" x14ac:dyDescent="0.25">
      <c r="A44" s="104" t="s">
        <v>58</v>
      </c>
      <c r="B44" s="108">
        <v>28.78</v>
      </c>
      <c r="C44" s="105"/>
      <c r="D44" s="105"/>
      <c r="E44" s="105"/>
      <c r="F44" s="105"/>
      <c r="G44" s="105"/>
      <c r="H44" s="105"/>
      <c r="I44" s="105">
        <f t="shared" ref="I44:I45" si="8">+ROUND(B44*104.1%,0)</f>
        <v>30</v>
      </c>
      <c r="J44" s="105"/>
      <c r="K44" s="107"/>
    </row>
    <row r="45" spans="1:13" ht="13.8" x14ac:dyDescent="0.25">
      <c r="A45" s="104" t="s">
        <v>106</v>
      </c>
      <c r="B45" s="108">
        <f>12.36*12</f>
        <v>148.32</v>
      </c>
      <c r="C45" s="105"/>
      <c r="D45" s="105"/>
      <c r="E45" s="105"/>
      <c r="F45" s="105"/>
      <c r="G45" s="105"/>
      <c r="H45" s="105"/>
      <c r="I45" s="105">
        <f t="shared" si="8"/>
        <v>154</v>
      </c>
      <c r="J45" s="105"/>
      <c r="K45" s="107"/>
    </row>
    <row r="46" spans="1:13" ht="13.8" x14ac:dyDescent="0.25">
      <c r="A46" s="109"/>
      <c r="B46" s="110">
        <f>SUM(B42:B45)</f>
        <v>549.09999999999991</v>
      </c>
      <c r="C46" s="111"/>
      <c r="D46" s="111"/>
      <c r="E46" s="111"/>
      <c r="F46" s="111"/>
      <c r="G46" s="111"/>
      <c r="H46" s="111"/>
      <c r="I46" s="110">
        <f>SUM(I42:I45)</f>
        <v>226</v>
      </c>
      <c r="J46" s="111"/>
      <c r="K46" s="112"/>
    </row>
    <row r="47" spans="1:13" ht="13.8" x14ac:dyDescent="0.25">
      <c r="A47" s="94"/>
    </row>
    <row r="48" spans="1:13" ht="13.8" x14ac:dyDescent="0.25">
      <c r="A48" s="113" t="s">
        <v>175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5"/>
      <c r="L48" s="114"/>
      <c r="M48" s="70"/>
    </row>
    <row r="49" spans="1:13" s="78" customFormat="1" ht="13.8" x14ac:dyDescent="0.25">
      <c r="A49" s="116" t="s">
        <v>126</v>
      </c>
      <c r="B49" s="117"/>
      <c r="C49" s="117">
        <v>3500</v>
      </c>
      <c r="D49" s="118"/>
      <c r="E49" s="117"/>
      <c r="F49" s="117"/>
      <c r="G49" s="117"/>
      <c r="H49" s="117"/>
      <c r="I49" s="117">
        <v>4250</v>
      </c>
      <c r="J49" s="117"/>
      <c r="K49" s="119"/>
      <c r="L49" s="120">
        <f t="shared" ref="L49" si="9">+I49-C49</f>
        <v>750</v>
      </c>
      <c r="M49" s="69" t="s">
        <v>196</v>
      </c>
    </row>
    <row r="50" spans="1:13" s="78" customFormat="1" ht="41.4" x14ac:dyDescent="0.25">
      <c r="A50" s="121" t="s">
        <v>195</v>
      </c>
      <c r="B50" s="87"/>
      <c r="C50" s="87"/>
      <c r="D50" s="122"/>
      <c r="E50" s="87"/>
      <c r="F50" s="87"/>
      <c r="G50" s="87"/>
      <c r="H50" s="87"/>
      <c r="I50" s="87"/>
      <c r="J50" s="87"/>
      <c r="K50" s="85"/>
      <c r="L50" s="123"/>
      <c r="M50" s="69"/>
    </row>
    <row r="51" spans="1:13" s="78" customFormat="1" ht="13.8" x14ac:dyDescent="0.25">
      <c r="A51" s="124" t="s">
        <v>39</v>
      </c>
      <c r="B51" s="125"/>
      <c r="C51" s="126"/>
      <c r="D51" s="127"/>
      <c r="E51" s="125">
        <v>3000</v>
      </c>
      <c r="F51" s="125">
        <v>0</v>
      </c>
      <c r="G51" s="128">
        <f t="shared" ref="G51" si="10">+F51+E51</f>
        <v>3000</v>
      </c>
      <c r="H51" s="125"/>
      <c r="I51" s="125"/>
      <c r="J51" s="125"/>
      <c r="K51" s="126"/>
      <c r="L51" s="129"/>
      <c r="M51" s="69"/>
    </row>
    <row r="52" spans="1:13" s="78" customFormat="1" ht="13.8" x14ac:dyDescent="0.25">
      <c r="A52" s="92"/>
      <c r="D52" s="130"/>
      <c r="K52" s="131"/>
      <c r="M52" s="69"/>
    </row>
    <row r="53" spans="1:13" ht="13.8" x14ac:dyDescent="0.25">
      <c r="A53" s="132" t="s">
        <v>194</v>
      </c>
      <c r="B53" s="82"/>
      <c r="C53" s="82"/>
      <c r="D53" s="82"/>
      <c r="E53" s="82"/>
      <c r="F53" s="82"/>
      <c r="G53" s="82"/>
      <c r="H53" s="82"/>
      <c r="I53" s="82"/>
      <c r="J53" s="82"/>
      <c r="K53" s="133"/>
      <c r="L53" s="82"/>
      <c r="M53" s="60"/>
    </row>
    <row r="54" spans="1:13" ht="13.8" x14ac:dyDescent="0.25">
      <c r="A54" s="116" t="s">
        <v>126</v>
      </c>
      <c r="B54" s="134"/>
      <c r="C54" s="134">
        <v>3000</v>
      </c>
      <c r="D54" s="117"/>
      <c r="E54" s="134"/>
      <c r="F54" s="134"/>
      <c r="G54" s="134"/>
      <c r="H54" s="134"/>
      <c r="I54" s="117">
        <v>3000</v>
      </c>
      <c r="J54" s="134"/>
      <c r="K54" s="135"/>
      <c r="L54" s="120">
        <f t="shared" ref="L54" si="11">+I54-C54</f>
        <v>0</v>
      </c>
    </row>
    <row r="55" spans="1:13" ht="13.8" x14ac:dyDescent="0.25">
      <c r="A55" s="124" t="s">
        <v>93</v>
      </c>
      <c r="B55" s="68"/>
      <c r="C55" s="68"/>
      <c r="D55" s="125"/>
      <c r="E55" s="68">
        <v>170</v>
      </c>
      <c r="F55" s="68">
        <v>0</v>
      </c>
      <c r="G55" s="128">
        <f t="shared" ref="G55" si="12">+F55+E55</f>
        <v>170</v>
      </c>
      <c r="H55" s="68"/>
      <c r="I55" s="68"/>
      <c r="J55" s="68"/>
      <c r="K55" s="128"/>
      <c r="L55" s="136"/>
    </row>
    <row r="56" spans="1:13" ht="13.8" x14ac:dyDescent="0.25">
      <c r="A56" s="92"/>
      <c r="D56" s="78"/>
    </row>
    <row r="57" spans="1:13" ht="13.8" x14ac:dyDescent="0.25">
      <c r="A57" s="113" t="s">
        <v>174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5"/>
      <c r="L57" s="114"/>
      <c r="M57" s="70"/>
    </row>
    <row r="58" spans="1:13" ht="13.8" x14ac:dyDescent="0.25">
      <c r="A58" s="116" t="s">
        <v>126</v>
      </c>
      <c r="B58" s="134"/>
      <c r="C58" s="134">
        <v>4000</v>
      </c>
      <c r="D58" s="117"/>
      <c r="E58" s="134">
        <v>0</v>
      </c>
      <c r="F58" s="134">
        <v>0</v>
      </c>
      <c r="G58" s="134">
        <v>0</v>
      </c>
      <c r="H58" s="134"/>
      <c r="I58" s="117">
        <v>3000</v>
      </c>
      <c r="J58" s="134"/>
      <c r="K58" s="135"/>
      <c r="L58" s="120">
        <f t="shared" ref="L58" si="13">+I58-C58</f>
        <v>-1000</v>
      </c>
      <c r="M58" s="69"/>
    </row>
    <row r="59" spans="1:13" ht="13.8" x14ac:dyDescent="0.25">
      <c r="A59" s="137"/>
      <c r="B59" s="68"/>
      <c r="C59" s="68"/>
      <c r="D59" s="125"/>
      <c r="E59" s="68"/>
      <c r="F59" s="68"/>
      <c r="G59" s="68"/>
      <c r="H59" s="68"/>
      <c r="I59" s="68"/>
      <c r="J59" s="68"/>
      <c r="K59" s="128"/>
      <c r="L59" s="136"/>
    </row>
    <row r="60" spans="1:13" ht="13.8" x14ac:dyDescent="0.25">
      <c r="A60" s="138"/>
      <c r="D60" s="78"/>
    </row>
    <row r="61" spans="1:13" ht="13.8" x14ac:dyDescent="0.25">
      <c r="A61" s="113" t="s">
        <v>197</v>
      </c>
      <c r="B61" s="114"/>
      <c r="C61" s="114"/>
      <c r="D61" s="114"/>
      <c r="E61" s="114"/>
      <c r="F61" s="114"/>
      <c r="G61" s="114"/>
      <c r="H61" s="114"/>
      <c r="I61" s="114"/>
      <c r="J61" s="114"/>
      <c r="K61" s="115"/>
      <c r="L61" s="114"/>
      <c r="M61" s="70"/>
    </row>
    <row r="62" spans="1:13" ht="13.8" x14ac:dyDescent="0.25">
      <c r="A62" s="116" t="s">
        <v>126</v>
      </c>
      <c r="B62" s="134"/>
      <c r="C62" s="134">
        <v>10000</v>
      </c>
      <c r="D62" s="119"/>
      <c r="E62" s="134"/>
      <c r="F62" s="134"/>
      <c r="G62" s="134"/>
      <c r="H62" s="134"/>
      <c r="I62" s="134">
        <v>10000</v>
      </c>
      <c r="J62" s="134"/>
      <c r="K62" s="135"/>
      <c r="L62" s="120">
        <f t="shared" ref="L62" si="14">+I62-C62</f>
        <v>0</v>
      </c>
    </row>
    <row r="63" spans="1:13" ht="13.8" x14ac:dyDescent="0.25">
      <c r="A63" s="139" t="s">
        <v>41</v>
      </c>
      <c r="B63" s="84"/>
      <c r="C63" s="84"/>
      <c r="D63" s="85"/>
      <c r="E63" s="140">
        <v>5000</v>
      </c>
      <c r="F63" s="84"/>
      <c r="G63" s="140">
        <f>+B70</f>
        <v>4209.58</v>
      </c>
      <c r="H63" s="84"/>
      <c r="I63" s="84"/>
      <c r="J63" s="84"/>
      <c r="K63" s="88"/>
      <c r="L63" s="141"/>
    </row>
    <row r="64" spans="1:13" ht="13.8" x14ac:dyDescent="0.25">
      <c r="A64" s="142" t="s">
        <v>164</v>
      </c>
      <c r="B64" s="84">
        <v>24.58</v>
      </c>
      <c r="C64" s="84"/>
      <c r="D64" s="85"/>
      <c r="E64" s="84"/>
      <c r="F64" s="84"/>
      <c r="G64" s="84"/>
      <c r="H64" s="84"/>
      <c r="I64" s="84"/>
      <c r="J64" s="84"/>
      <c r="K64" s="88"/>
      <c r="L64" s="141"/>
    </row>
    <row r="65" spans="1:13" ht="13.8" x14ac:dyDescent="0.25">
      <c r="A65" s="142" t="s">
        <v>165</v>
      </c>
      <c r="B65" s="84">
        <v>450</v>
      </c>
      <c r="C65" s="84"/>
      <c r="D65" s="85"/>
      <c r="E65" s="84"/>
      <c r="F65" s="84"/>
      <c r="G65" s="84"/>
      <c r="H65" s="84"/>
      <c r="I65" s="84"/>
      <c r="J65" s="84"/>
      <c r="K65" s="88"/>
      <c r="L65" s="141"/>
    </row>
    <row r="66" spans="1:13" ht="13.8" x14ac:dyDescent="0.25">
      <c r="A66" s="142" t="s">
        <v>166</v>
      </c>
      <c r="B66" s="84">
        <v>400</v>
      </c>
      <c r="C66" s="84"/>
      <c r="D66" s="143"/>
      <c r="E66" s="84"/>
      <c r="F66" s="84"/>
      <c r="G66" s="84"/>
      <c r="H66" s="84"/>
      <c r="I66" s="84"/>
      <c r="J66" s="84"/>
      <c r="K66" s="88"/>
      <c r="L66" s="141"/>
    </row>
    <row r="67" spans="1:13" ht="13.8" x14ac:dyDescent="0.25">
      <c r="A67" s="142" t="s">
        <v>47</v>
      </c>
      <c r="B67" s="84">
        <v>522.5</v>
      </c>
      <c r="C67" s="84"/>
      <c r="D67" s="84"/>
      <c r="E67" s="84"/>
      <c r="F67" s="84"/>
      <c r="G67" s="84"/>
      <c r="H67" s="84"/>
      <c r="I67" s="84"/>
      <c r="J67" s="84"/>
      <c r="K67" s="88"/>
      <c r="L67" s="141"/>
    </row>
    <row r="68" spans="1:13" ht="13.8" x14ac:dyDescent="0.25">
      <c r="A68" s="142" t="s">
        <v>45</v>
      </c>
      <c r="B68" s="87">
        <v>2572.5</v>
      </c>
      <c r="C68" s="84"/>
      <c r="D68" s="84"/>
      <c r="E68" s="84"/>
      <c r="F68" s="84"/>
      <c r="G68" s="84"/>
      <c r="H68" s="84"/>
      <c r="I68" s="84"/>
      <c r="J68" s="84"/>
      <c r="K68" s="88"/>
      <c r="L68" s="141"/>
    </row>
    <row r="69" spans="1:13" ht="13.8" x14ac:dyDescent="0.25">
      <c r="A69" s="142" t="s">
        <v>46</v>
      </c>
      <c r="B69" s="84">
        <v>240</v>
      </c>
      <c r="C69" s="84"/>
      <c r="D69" s="84"/>
      <c r="E69" s="84"/>
      <c r="F69" s="84"/>
      <c r="G69" s="84"/>
      <c r="H69" s="84"/>
      <c r="I69" s="84"/>
      <c r="J69" s="84"/>
      <c r="K69" s="88"/>
      <c r="L69" s="141"/>
    </row>
    <row r="70" spans="1:13" ht="13.8" x14ac:dyDescent="0.25">
      <c r="A70" s="144" t="s">
        <v>192</v>
      </c>
      <c r="B70" s="143">
        <f>SUM(B64:B69)</f>
        <v>4209.58</v>
      </c>
      <c r="C70" s="145"/>
      <c r="D70" s="84"/>
      <c r="E70" s="84"/>
      <c r="F70" s="84"/>
      <c r="G70" s="84"/>
      <c r="H70" s="84"/>
      <c r="I70" s="84"/>
      <c r="J70" s="84"/>
      <c r="K70" s="88"/>
      <c r="L70" s="141"/>
    </row>
    <row r="71" spans="1:13" ht="13.8" x14ac:dyDescent="0.25">
      <c r="A71" s="146" t="s">
        <v>54</v>
      </c>
      <c r="B71" s="147"/>
      <c r="C71" s="84"/>
      <c r="D71" s="84"/>
      <c r="E71" s="84">
        <v>200</v>
      </c>
      <c r="F71" s="84"/>
      <c r="G71" s="84">
        <f>+E71</f>
        <v>200</v>
      </c>
      <c r="H71" s="84"/>
      <c r="I71" s="84"/>
      <c r="J71" s="84"/>
      <c r="K71" s="88"/>
      <c r="L71" s="141"/>
    </row>
    <row r="72" spans="1:13" ht="10.8" customHeight="1" x14ac:dyDescent="0.25">
      <c r="A72" s="148" t="s">
        <v>162</v>
      </c>
      <c r="B72" s="68"/>
      <c r="C72" s="68"/>
      <c r="D72" s="68"/>
      <c r="E72" s="68">
        <v>92.94</v>
      </c>
      <c r="F72" s="68"/>
      <c r="G72" s="68">
        <f>+E72</f>
        <v>92.94</v>
      </c>
      <c r="H72" s="68"/>
      <c r="I72" s="68"/>
      <c r="J72" s="68"/>
      <c r="K72" s="128"/>
      <c r="L72" s="136">
        <f t="shared" ref="L72" si="15">+I72-C72</f>
        <v>0</v>
      </c>
    </row>
    <row r="73" spans="1:13" ht="13.8" x14ac:dyDescent="0.25">
      <c r="A73" s="92"/>
      <c r="B73" s="149"/>
    </row>
    <row r="74" spans="1:13" ht="13.8" x14ac:dyDescent="0.25">
      <c r="A74" s="113" t="s">
        <v>193</v>
      </c>
      <c r="B74" s="114"/>
      <c r="C74" s="114"/>
      <c r="D74" s="114"/>
      <c r="E74" s="114"/>
      <c r="F74" s="114"/>
      <c r="G74" s="114"/>
      <c r="H74" s="114"/>
      <c r="I74" s="114"/>
      <c r="J74" s="114"/>
      <c r="K74" s="115"/>
      <c r="L74" s="114"/>
      <c r="M74" s="70"/>
    </row>
    <row r="75" spans="1:13" ht="27.6" x14ac:dyDescent="0.25">
      <c r="A75" s="66" t="s">
        <v>180</v>
      </c>
      <c r="B75" s="67"/>
      <c r="C75" s="68">
        <v>0</v>
      </c>
      <c r="D75" s="68"/>
      <c r="E75" s="68">
        <v>0</v>
      </c>
      <c r="F75" s="68">
        <v>0</v>
      </c>
      <c r="G75" s="68">
        <v>0</v>
      </c>
      <c r="H75" s="68"/>
      <c r="I75" s="68">
        <v>5000</v>
      </c>
      <c r="J75" s="68"/>
      <c r="K75" s="128"/>
      <c r="L75" s="136">
        <f t="shared" ref="L75" si="16">+I75-C75</f>
        <v>5000</v>
      </c>
    </row>
    <row r="76" spans="1:13" ht="13.8" x14ac:dyDescent="0.25">
      <c r="A76" s="92"/>
      <c r="B76" s="150"/>
    </row>
    <row r="77" spans="1:13" ht="13.8" x14ac:dyDescent="0.25">
      <c r="A77" s="151" t="s">
        <v>181</v>
      </c>
      <c r="B77" s="152"/>
      <c r="C77" s="153">
        <f>SUM(C38:C76)</f>
        <v>71335.08</v>
      </c>
      <c r="D77" s="154"/>
      <c r="E77" s="153">
        <f>SUM(E38:E73)</f>
        <v>33382.910000000003</v>
      </c>
      <c r="F77" s="153">
        <f>SUM(F38:F76)</f>
        <v>10171.14</v>
      </c>
      <c r="G77" s="153">
        <f>SUM(G38:G76)</f>
        <v>44283.37</v>
      </c>
      <c r="H77" s="154"/>
      <c r="I77" s="153">
        <f>SUM(I38:I76)</f>
        <v>81812.2</v>
      </c>
      <c r="J77" s="154"/>
      <c r="K77" s="154"/>
      <c r="L77" s="153">
        <f t="shared" ref="L77" si="17">+I77-C77</f>
        <v>10477.119999999995</v>
      </c>
      <c r="M77" s="71"/>
    </row>
    <row r="78" spans="1:13" x14ac:dyDescent="0.25">
      <c r="K78" s="77"/>
    </row>
    <row r="79" spans="1:13" s="49" customFormat="1" ht="15.6" x14ac:dyDescent="0.25">
      <c r="A79" s="65" t="s">
        <v>183</v>
      </c>
      <c r="B79" s="62"/>
      <c r="C79" s="61"/>
      <c r="D79" s="61"/>
      <c r="E79" s="61"/>
      <c r="F79" s="61"/>
      <c r="G79" s="61"/>
      <c r="H79" s="61"/>
      <c r="I79" s="61"/>
      <c r="J79" s="63"/>
      <c r="K79" s="64"/>
      <c r="L79" s="61"/>
      <c r="M79" s="63"/>
    </row>
    <row r="80" spans="1:13" ht="13.8" x14ac:dyDescent="0.25">
      <c r="A80" s="155"/>
      <c r="B80" s="156"/>
      <c r="C80" s="157"/>
      <c r="D80" s="157"/>
      <c r="E80" s="157"/>
      <c r="F80" s="157"/>
      <c r="G80" s="158" t="s">
        <v>170</v>
      </c>
      <c r="H80" s="158"/>
      <c r="I80" s="158" t="s">
        <v>122</v>
      </c>
      <c r="J80" s="157"/>
      <c r="K80" s="159"/>
      <c r="L80" s="157"/>
      <c r="M80" s="72"/>
    </row>
    <row r="81" spans="1:13" ht="13.8" x14ac:dyDescent="0.25">
      <c r="A81" s="160" t="s">
        <v>169</v>
      </c>
      <c r="B81" s="161"/>
      <c r="C81" s="162"/>
      <c r="D81" s="162"/>
      <c r="E81" s="162"/>
      <c r="F81" s="162"/>
      <c r="G81" s="163">
        <v>49835.08</v>
      </c>
      <c r="H81" s="164"/>
      <c r="I81" s="164">
        <v>61.72</v>
      </c>
      <c r="J81" s="162"/>
      <c r="K81" s="165"/>
      <c r="L81" s="162"/>
      <c r="M81" s="73"/>
    </row>
    <row r="82" spans="1:13" ht="13.8" x14ac:dyDescent="0.25">
      <c r="A82" s="166"/>
      <c r="B82" s="161"/>
      <c r="C82" s="162"/>
      <c r="D82" s="162"/>
      <c r="E82" s="162"/>
      <c r="F82" s="162"/>
      <c r="G82" s="167"/>
      <c r="H82" s="162"/>
      <c r="I82" s="162"/>
      <c r="J82" s="162"/>
      <c r="K82" s="167"/>
      <c r="L82" s="162"/>
      <c r="M82" s="73"/>
    </row>
    <row r="83" spans="1:13" ht="13.8" x14ac:dyDescent="0.25">
      <c r="A83" s="160" t="s">
        <v>171</v>
      </c>
      <c r="B83" s="162"/>
      <c r="C83" s="168"/>
      <c r="D83" s="162"/>
      <c r="E83" s="162"/>
      <c r="F83" s="162"/>
      <c r="G83" s="169" t="s">
        <v>126</v>
      </c>
      <c r="H83" s="170"/>
      <c r="I83" s="170" t="s">
        <v>127</v>
      </c>
      <c r="J83" s="162"/>
      <c r="K83" s="167"/>
      <c r="L83" s="162"/>
      <c r="M83" s="73"/>
    </row>
    <row r="84" spans="1:13" x14ac:dyDescent="0.25">
      <c r="A84" s="171" t="s">
        <v>108</v>
      </c>
      <c r="B84" s="162"/>
      <c r="C84" s="162"/>
      <c r="D84" s="162"/>
      <c r="E84" s="162"/>
      <c r="F84" s="162"/>
      <c r="G84" s="172">
        <f>+I77</f>
        <v>81812.2</v>
      </c>
      <c r="H84" s="162"/>
      <c r="I84" s="162"/>
      <c r="J84" s="162"/>
      <c r="K84" s="167"/>
      <c r="L84" s="162"/>
      <c r="M84" s="73"/>
    </row>
    <row r="85" spans="1:13" x14ac:dyDescent="0.25">
      <c r="A85" s="171" t="s">
        <v>109</v>
      </c>
      <c r="B85" s="162"/>
      <c r="C85" s="162"/>
      <c r="D85" s="162"/>
      <c r="E85" s="162"/>
      <c r="F85" s="162"/>
      <c r="G85" s="172">
        <f>+G77-C77</f>
        <v>-27051.71</v>
      </c>
      <c r="H85" s="162"/>
      <c r="I85" s="162"/>
      <c r="J85" s="162"/>
      <c r="K85" s="167"/>
      <c r="L85" s="162"/>
      <c r="M85" s="73"/>
    </row>
    <row r="86" spans="1:13" x14ac:dyDescent="0.25">
      <c r="A86" s="171" t="s">
        <v>107</v>
      </c>
      <c r="B86" s="162"/>
      <c r="C86" s="162"/>
      <c r="D86" s="162"/>
      <c r="E86" s="162"/>
      <c r="F86" s="162"/>
      <c r="G86" s="163">
        <f>+G85+G84</f>
        <v>54760.49</v>
      </c>
      <c r="H86" s="164"/>
      <c r="I86" s="173">
        <f>+I92/G92*G86</f>
        <v>67.820046497366903</v>
      </c>
      <c r="J86" s="162"/>
      <c r="K86" s="167"/>
      <c r="L86" s="162"/>
      <c r="M86" s="73"/>
    </row>
    <row r="87" spans="1:13" x14ac:dyDescent="0.25">
      <c r="A87" s="171" t="s">
        <v>25</v>
      </c>
      <c r="B87" s="162"/>
      <c r="C87" s="162"/>
      <c r="D87" s="162"/>
      <c r="E87" s="162"/>
      <c r="F87" s="162"/>
      <c r="G87" s="167"/>
      <c r="H87" s="162"/>
      <c r="I87" s="168"/>
      <c r="J87" s="162"/>
      <c r="K87" s="167"/>
      <c r="L87" s="162"/>
      <c r="M87" s="73"/>
    </row>
    <row r="88" spans="1:13" x14ac:dyDescent="0.25">
      <c r="A88" s="171"/>
      <c r="B88" s="162"/>
      <c r="C88" s="162"/>
      <c r="D88" s="162"/>
      <c r="E88" s="162"/>
      <c r="F88" s="162"/>
      <c r="G88" s="169" t="s">
        <v>126</v>
      </c>
      <c r="H88" s="170"/>
      <c r="I88" s="170" t="s">
        <v>127</v>
      </c>
      <c r="J88" s="170"/>
      <c r="K88" s="169" t="s">
        <v>172</v>
      </c>
      <c r="L88" s="162"/>
      <c r="M88" s="73"/>
    </row>
    <row r="89" spans="1:13" x14ac:dyDescent="0.25">
      <c r="A89" s="171" t="s">
        <v>173</v>
      </c>
      <c r="B89" s="162"/>
      <c r="C89" s="162"/>
      <c r="D89" s="162"/>
      <c r="E89" s="162"/>
      <c r="F89" s="162"/>
      <c r="G89" s="163">
        <f>+G86-G81</f>
        <v>4925.4099999999962</v>
      </c>
      <c r="H89" s="164"/>
      <c r="I89" s="173">
        <f>+I86-I81</f>
        <v>6.100046497366904</v>
      </c>
      <c r="J89" s="162"/>
      <c r="K89" s="174">
        <f>+I89/I81%</f>
        <v>9.8834194707824121</v>
      </c>
      <c r="L89" s="162"/>
      <c r="M89" s="73"/>
    </row>
    <row r="90" spans="1:13" ht="7.8" hidden="1" customHeight="1" x14ac:dyDescent="0.25">
      <c r="A90" s="175" t="s">
        <v>167</v>
      </c>
      <c r="M90" s="73"/>
    </row>
    <row r="91" spans="1:13" ht="13.8" hidden="1" x14ac:dyDescent="0.25">
      <c r="A91" s="176" t="s">
        <v>168</v>
      </c>
      <c r="B91" s="150"/>
      <c r="G91" s="78" t="s">
        <v>126</v>
      </c>
      <c r="I91" s="78" t="s">
        <v>122</v>
      </c>
      <c r="M91" s="73"/>
    </row>
    <row r="92" spans="1:13" ht="13.8" hidden="1" x14ac:dyDescent="0.25">
      <c r="A92" s="177" t="s">
        <v>65</v>
      </c>
      <c r="B92" s="150"/>
      <c r="G92" s="178">
        <v>49835.08</v>
      </c>
      <c r="I92" s="77">
        <v>61.72</v>
      </c>
      <c r="M92" s="73"/>
    </row>
    <row r="93" spans="1:13" ht="13.8" hidden="1" x14ac:dyDescent="0.25">
      <c r="A93" s="177" t="s">
        <v>66</v>
      </c>
      <c r="B93" s="150"/>
      <c r="G93" s="178">
        <v>515.83000000000004</v>
      </c>
      <c r="M93" s="73"/>
    </row>
    <row r="94" spans="1:13" ht="13.8" hidden="1" x14ac:dyDescent="0.25">
      <c r="A94" s="177" t="s">
        <v>68</v>
      </c>
      <c r="G94" s="178">
        <v>340</v>
      </c>
      <c r="M94" s="73"/>
    </row>
    <row r="95" spans="1:13" ht="7.2" hidden="1" customHeight="1" x14ac:dyDescent="0.25">
      <c r="A95" s="177" t="s">
        <v>67</v>
      </c>
      <c r="G95" s="179">
        <v>38.71</v>
      </c>
      <c r="M95" s="73"/>
    </row>
    <row r="96" spans="1:13" ht="12" hidden="1" customHeight="1" x14ac:dyDescent="0.25">
      <c r="A96" s="180"/>
      <c r="G96" s="178">
        <f>SUM(G92:G95)</f>
        <v>50729.62</v>
      </c>
      <c r="M96" s="73"/>
    </row>
    <row r="97" spans="1:13" x14ac:dyDescent="0.25">
      <c r="A97" s="181"/>
      <c r="B97" s="182"/>
      <c r="C97" s="182"/>
      <c r="D97" s="182"/>
      <c r="E97" s="182"/>
      <c r="F97" s="182"/>
      <c r="G97" s="182"/>
      <c r="H97" s="182"/>
      <c r="I97" s="182"/>
      <c r="J97" s="182"/>
      <c r="K97" s="183"/>
      <c r="L97" s="182"/>
      <c r="M97" s="74"/>
    </row>
    <row r="111" spans="1:13" x14ac:dyDescent="0.25">
      <c r="C111" s="184"/>
    </row>
    <row r="113" spans="1:13" s="184" customFormat="1" x14ac:dyDescent="0.25">
      <c r="A113" s="77"/>
      <c r="B113" s="77"/>
      <c r="C113" s="77"/>
      <c r="K113" s="185"/>
      <c r="M113" s="75"/>
    </row>
  </sheetData>
  <mergeCells count="1">
    <mergeCell ref="C1:G1"/>
  </mergeCells>
  <printOptions gridLines="1"/>
  <pageMargins left="0.23622047244094491" right="0.23622047244094491" top="1.1330314960629921" bottom="0.74803149606299213" header="0.31496062992125984" footer="0.31496062992125984"/>
  <pageSetup scale="87" orientation="landscape" r:id="rId1"/>
  <headerFooter alignWithMargins="0">
    <oddHeader>&amp;F</oddHead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B9BD-B941-4A8E-A66E-1D4D7BB1EBF3}">
  <sheetPr>
    <tabColor theme="0" tint="-0.14999847407452621"/>
  </sheetPr>
  <dimension ref="A1:Q118"/>
  <sheetViews>
    <sheetView showGridLines="0" zoomScaleNormal="100" workbookViewId="0">
      <pane xSplit="1" ySplit="2" topLeftCell="B55" activePane="bottomRight" state="frozenSplit"/>
      <selection pane="topRight" activeCell="B1" sqref="B1"/>
      <selection pane="bottomLeft" activeCell="A4" sqref="A4"/>
      <selection pane="bottomRight" activeCell="L55" sqref="L55"/>
    </sheetView>
  </sheetViews>
  <sheetFormatPr defaultColWidth="8.77734375" defaultRowHeight="13.2" outlineLevelCol="1" x14ac:dyDescent="0.25"/>
  <cols>
    <col min="1" max="1" width="63.33203125" style="77" customWidth="1"/>
    <col min="2" max="2" width="8.77734375" style="77" customWidth="1"/>
    <col min="3" max="3" width="9.109375" style="77" customWidth="1"/>
    <col min="4" max="4" width="2.44140625" style="77" customWidth="1"/>
    <col min="5" max="5" width="10.44140625" style="77" customWidth="1" outlineLevel="1"/>
    <col min="6" max="6" width="8.33203125" style="77" customWidth="1" outlineLevel="1"/>
    <col min="7" max="7" width="9" style="77" customWidth="1"/>
    <col min="8" max="8" width="2.88671875" style="77" customWidth="1"/>
    <col min="9" max="9" width="10.44140625" style="77" bestFit="1" customWidth="1"/>
    <col min="10" max="10" width="2.44140625" style="77" customWidth="1"/>
    <col min="11" max="11" width="8.5546875" style="93" customWidth="1"/>
    <col min="12" max="12" width="10.44140625" style="77" bestFit="1" customWidth="1"/>
    <col min="13" max="16" width="10.44140625" style="77" customWidth="1"/>
    <col min="17" max="17" width="89.6640625" style="49" customWidth="1"/>
    <col min="18" max="16384" width="8.77734375" style="77"/>
  </cols>
  <sheetData>
    <row r="1" spans="1:17" x14ac:dyDescent="0.25">
      <c r="A1" s="76"/>
      <c r="C1" s="328" t="s">
        <v>96</v>
      </c>
      <c r="D1" s="328"/>
      <c r="E1" s="328"/>
      <c r="F1" s="328"/>
      <c r="G1" s="328"/>
      <c r="H1" s="78"/>
      <c r="I1" s="79" t="s">
        <v>62</v>
      </c>
      <c r="K1" s="80" t="s">
        <v>99</v>
      </c>
      <c r="L1" s="81" t="s">
        <v>100</v>
      </c>
      <c r="M1" s="187">
        <v>46113</v>
      </c>
      <c r="N1" s="81"/>
      <c r="O1" s="81"/>
      <c r="P1" s="81"/>
      <c r="Q1" s="47" t="s">
        <v>163</v>
      </c>
    </row>
    <row r="2" spans="1:17" s="49" customFormat="1" ht="39.6" x14ac:dyDescent="0.25">
      <c r="A2" s="47" t="s">
        <v>184</v>
      </c>
      <c r="B2" s="48"/>
      <c r="C2" s="47" t="s">
        <v>94</v>
      </c>
      <c r="D2" s="47"/>
      <c r="E2" s="47" t="s">
        <v>95</v>
      </c>
      <c r="F2" s="47" t="s">
        <v>97</v>
      </c>
      <c r="G2" s="47" t="s">
        <v>111</v>
      </c>
      <c r="H2" s="47"/>
      <c r="I2" s="47" t="s">
        <v>98</v>
      </c>
      <c r="K2" s="50" t="s">
        <v>130</v>
      </c>
      <c r="L2" s="47" t="s">
        <v>131</v>
      </c>
      <c r="M2" s="47"/>
      <c r="N2" s="47"/>
      <c r="O2" s="47"/>
      <c r="P2" s="47"/>
      <c r="Q2" s="49">
        <f>+Q16*0.15</f>
        <v>913.8</v>
      </c>
    </row>
    <row r="3" spans="1:17" s="49" customFormat="1" ht="15.6" x14ac:dyDescent="0.25">
      <c r="A3" s="65" t="s">
        <v>182</v>
      </c>
      <c r="B3" s="62"/>
      <c r="C3" s="61"/>
      <c r="D3" s="61"/>
      <c r="E3" s="61"/>
      <c r="F3" s="61"/>
      <c r="G3" s="61"/>
      <c r="H3" s="61"/>
      <c r="I3" s="61"/>
      <c r="J3" s="63"/>
      <c r="K3" s="64"/>
      <c r="L3" s="61"/>
      <c r="M3" s="61"/>
      <c r="N3" s="61"/>
      <c r="O3" s="61"/>
      <c r="P3" s="61"/>
      <c r="Q3" s="63"/>
    </row>
    <row r="4" spans="1:17" s="49" customFormat="1" ht="13.8" x14ac:dyDescent="0.25">
      <c r="A4" s="56" t="s">
        <v>176</v>
      </c>
      <c r="B4" s="57"/>
      <c r="C4" s="58"/>
      <c r="D4" s="58"/>
      <c r="E4" s="58"/>
      <c r="F4" s="58"/>
      <c r="G4" s="58"/>
      <c r="H4" s="58"/>
      <c r="I4" s="58"/>
      <c r="J4" s="82"/>
      <c r="K4" s="59"/>
      <c r="L4" s="60"/>
      <c r="M4" s="60"/>
      <c r="N4" s="60"/>
      <c r="O4" s="60"/>
      <c r="P4" s="60"/>
      <c r="Q4" s="60"/>
    </row>
    <row r="5" spans="1:17" ht="24.6" customHeight="1" x14ac:dyDescent="0.25">
      <c r="A5" s="83" t="s">
        <v>14</v>
      </c>
      <c r="B5" s="84"/>
      <c r="C5" s="84">
        <v>15000</v>
      </c>
      <c r="D5" s="84"/>
      <c r="E5" s="85">
        <v>7283.44</v>
      </c>
      <c r="F5" s="86">
        <v>1389</v>
      </c>
      <c r="G5" s="85">
        <v>8672</v>
      </c>
      <c r="H5" s="87"/>
      <c r="I5" s="224">
        <v>11092.2</v>
      </c>
      <c r="J5" s="87"/>
      <c r="K5" s="85">
        <f>+G5-C5</f>
        <v>-6328</v>
      </c>
      <c r="L5" s="84">
        <f>+I5-C5</f>
        <v>-3907.7999999999993</v>
      </c>
      <c r="M5" s="84"/>
      <c r="N5" s="84"/>
      <c r="O5" s="84"/>
      <c r="P5" s="84"/>
      <c r="Q5" s="69" t="s">
        <v>151</v>
      </c>
    </row>
    <row r="6" spans="1:17" ht="13.8" x14ac:dyDescent="0.25">
      <c r="A6" s="83" t="s">
        <v>190</v>
      </c>
      <c r="B6" s="84"/>
      <c r="C6" s="84">
        <v>0</v>
      </c>
      <c r="D6" s="84"/>
      <c r="E6" s="85">
        <v>0</v>
      </c>
      <c r="F6" s="86">
        <v>240</v>
      </c>
      <c r="G6" s="85">
        <v>1892.3199999999997</v>
      </c>
      <c r="H6" s="87"/>
      <c r="I6" s="224">
        <v>0</v>
      </c>
      <c r="J6" s="87"/>
      <c r="K6" s="85">
        <f>16.93*12*52</f>
        <v>10564.32</v>
      </c>
      <c r="L6" s="84">
        <f>+I6-C6</f>
        <v>0</v>
      </c>
      <c r="M6" s="84"/>
      <c r="N6" s="84"/>
      <c r="O6" s="84"/>
      <c r="P6" s="84"/>
      <c r="Q6" s="69" t="s">
        <v>191</v>
      </c>
    </row>
    <row r="7" spans="1:17" ht="13.8" x14ac:dyDescent="0.25">
      <c r="A7" s="83" t="s">
        <v>141</v>
      </c>
      <c r="B7" s="84"/>
      <c r="C7" s="84">
        <v>0</v>
      </c>
      <c r="D7" s="84"/>
      <c r="E7" s="85">
        <v>2122.14</v>
      </c>
      <c r="F7" s="86">
        <v>0</v>
      </c>
      <c r="G7" s="85">
        <v>2250</v>
      </c>
      <c r="H7" s="87"/>
      <c r="I7" s="224">
        <v>3500</v>
      </c>
      <c r="J7" s="87"/>
      <c r="K7" s="85">
        <f t="shared" ref="K7:K36" si="0">+G7-C7</f>
        <v>2250</v>
      </c>
      <c r="L7" s="84">
        <f t="shared" ref="L7:L36" si="1">+I7-C7</f>
        <v>3500</v>
      </c>
      <c r="M7" s="84"/>
      <c r="N7" s="84"/>
      <c r="O7" s="84"/>
      <c r="P7" s="84"/>
      <c r="Q7" s="49" t="s">
        <v>142</v>
      </c>
    </row>
    <row r="8" spans="1:17" ht="13.8" x14ac:dyDescent="0.25">
      <c r="A8" s="83" t="s">
        <v>1</v>
      </c>
      <c r="B8" s="84"/>
      <c r="C8" s="84">
        <v>500</v>
      </c>
      <c r="D8" s="84"/>
      <c r="E8" s="85">
        <v>672.06</v>
      </c>
      <c r="F8" s="86">
        <v>493.72</v>
      </c>
      <c r="G8" s="85">
        <v>1165.78</v>
      </c>
      <c r="H8" s="87"/>
      <c r="I8" s="224">
        <v>504</v>
      </c>
      <c r="J8" s="87"/>
      <c r="K8" s="85">
        <f t="shared" si="0"/>
        <v>665.78</v>
      </c>
      <c r="L8" s="84">
        <f t="shared" si="1"/>
        <v>4</v>
      </c>
      <c r="M8" s="84"/>
      <c r="N8" s="84"/>
      <c r="O8" s="84"/>
      <c r="P8" s="84"/>
      <c r="Q8" s="69" t="s">
        <v>187</v>
      </c>
    </row>
    <row r="9" spans="1:17" s="91" customFormat="1" ht="13.8" x14ac:dyDescent="0.25">
      <c r="A9" s="83" t="s">
        <v>157</v>
      </c>
      <c r="B9" s="89"/>
      <c r="C9" s="87">
        <v>200</v>
      </c>
      <c r="D9" s="87"/>
      <c r="E9" s="85" t="s">
        <v>37</v>
      </c>
      <c r="F9" s="89">
        <v>0</v>
      </c>
      <c r="G9" s="90"/>
      <c r="H9" s="89"/>
      <c r="I9" s="225">
        <v>400</v>
      </c>
      <c r="J9" s="89"/>
      <c r="K9" s="88">
        <f>+G9-C9</f>
        <v>-200</v>
      </c>
      <c r="L9" s="84">
        <f>+I9-C9</f>
        <v>200</v>
      </c>
      <c r="M9" s="84"/>
      <c r="N9" s="84"/>
      <c r="O9" s="84"/>
      <c r="P9" s="84"/>
      <c r="Q9" s="69" t="s">
        <v>188</v>
      </c>
    </row>
    <row r="10" spans="1:17" ht="13.8" x14ac:dyDescent="0.25">
      <c r="A10" s="83" t="s">
        <v>101</v>
      </c>
      <c r="B10" s="84"/>
      <c r="C10" s="87">
        <v>0</v>
      </c>
      <c r="D10" s="87"/>
      <c r="E10" s="88">
        <v>0</v>
      </c>
      <c r="F10" s="88">
        <v>600</v>
      </c>
      <c r="G10" s="88">
        <v>600</v>
      </c>
      <c r="H10" s="84"/>
      <c r="I10" s="226">
        <v>200</v>
      </c>
      <c r="J10" s="84"/>
      <c r="K10" s="88">
        <f>+G10-C10</f>
        <v>600</v>
      </c>
      <c r="L10" s="84">
        <f t="shared" ref="L10" si="2">+I10-C10</f>
        <v>200</v>
      </c>
      <c r="M10" s="84"/>
      <c r="N10" s="84"/>
      <c r="O10" s="84"/>
      <c r="P10" s="84"/>
      <c r="Q10" s="69" t="s">
        <v>189</v>
      </c>
    </row>
    <row r="11" spans="1:17" ht="13.8" x14ac:dyDescent="0.25">
      <c r="A11" s="83" t="s">
        <v>18</v>
      </c>
      <c r="B11" s="84"/>
      <c r="C11" s="84">
        <v>200</v>
      </c>
      <c r="D11" s="84"/>
      <c r="E11" s="88" t="s">
        <v>37</v>
      </c>
      <c r="F11" s="86">
        <v>0</v>
      </c>
      <c r="G11" s="88">
        <v>160</v>
      </c>
      <c r="H11" s="84"/>
      <c r="I11" s="224">
        <v>160</v>
      </c>
      <c r="J11" s="84"/>
      <c r="K11" s="88">
        <f t="shared" si="0"/>
        <v>-40</v>
      </c>
      <c r="L11" s="88">
        <f>+I11-C11</f>
        <v>-40</v>
      </c>
      <c r="M11" s="88"/>
      <c r="N11" s="88"/>
      <c r="O11" s="88"/>
      <c r="P11" s="88"/>
      <c r="Q11" s="69" t="s">
        <v>186</v>
      </c>
    </row>
    <row r="12" spans="1:17" ht="13.8" x14ac:dyDescent="0.25">
      <c r="A12" s="83" t="s">
        <v>136</v>
      </c>
      <c r="B12" s="84"/>
      <c r="C12" s="84">
        <v>0</v>
      </c>
      <c r="D12" s="84"/>
      <c r="E12" s="88">
        <v>0</v>
      </c>
      <c r="F12" s="84">
        <v>0</v>
      </c>
      <c r="G12" s="88">
        <v>0</v>
      </c>
      <c r="H12" s="84"/>
      <c r="I12" s="224">
        <v>582</v>
      </c>
      <c r="J12" s="84"/>
      <c r="K12" s="88">
        <f>+G12-C12</f>
        <v>0</v>
      </c>
      <c r="L12" s="88">
        <f>+I12-C12</f>
        <v>582</v>
      </c>
      <c r="M12" s="88"/>
      <c r="N12" s="88"/>
      <c r="O12" s="88"/>
      <c r="P12" s="88"/>
      <c r="Q12" s="49" t="s">
        <v>135</v>
      </c>
    </row>
    <row r="13" spans="1:17" ht="13.8" x14ac:dyDescent="0.25">
      <c r="A13" s="83" t="s">
        <v>149</v>
      </c>
      <c r="B13" s="84"/>
      <c r="C13" s="84">
        <v>0</v>
      </c>
      <c r="D13" s="84"/>
      <c r="E13" s="88">
        <v>0</v>
      </c>
      <c r="F13" s="84">
        <v>0</v>
      </c>
      <c r="G13" s="88">
        <v>0</v>
      </c>
      <c r="H13" s="84"/>
      <c r="I13" s="224">
        <v>0</v>
      </c>
      <c r="J13" s="84"/>
      <c r="K13" s="88">
        <f>+G13-C13</f>
        <v>0</v>
      </c>
      <c r="L13" s="88">
        <f>+I13-C13</f>
        <v>0</v>
      </c>
      <c r="M13" s="88"/>
      <c r="N13" s="88"/>
      <c r="O13" s="88"/>
      <c r="P13" s="88"/>
      <c r="Q13" s="69" t="s">
        <v>148</v>
      </c>
    </row>
    <row r="14" spans="1:17" ht="13.8" x14ac:dyDescent="0.25">
      <c r="A14" s="83" t="s">
        <v>144</v>
      </c>
      <c r="B14" s="84"/>
      <c r="C14" s="84">
        <v>920.08</v>
      </c>
      <c r="D14" s="84"/>
      <c r="E14" s="88">
        <v>958.16</v>
      </c>
      <c r="F14" s="84">
        <v>0</v>
      </c>
      <c r="G14" s="88">
        <v>958.16</v>
      </c>
      <c r="H14" s="84"/>
      <c r="I14" s="224">
        <v>997</v>
      </c>
      <c r="J14" s="84"/>
      <c r="K14" s="88">
        <f>+G14-C14</f>
        <v>38.079999999999927</v>
      </c>
      <c r="L14" s="88">
        <f>+I14-C14</f>
        <v>76.919999999999959</v>
      </c>
      <c r="M14" s="88"/>
      <c r="N14" s="88"/>
      <c r="O14" s="88"/>
      <c r="P14" s="88"/>
      <c r="Q14" s="49">
        <v>11092</v>
      </c>
    </row>
    <row r="15" spans="1:17" ht="13.8" x14ac:dyDescent="0.25">
      <c r="A15" s="83" t="s">
        <v>12</v>
      </c>
      <c r="B15" s="84"/>
      <c r="C15" s="84">
        <v>240</v>
      </c>
      <c r="D15" s="84"/>
      <c r="E15" s="88">
        <v>240</v>
      </c>
      <c r="F15" s="84">
        <v>0</v>
      </c>
      <c r="G15" s="88">
        <v>250</v>
      </c>
      <c r="H15" s="88"/>
      <c r="I15" s="224">
        <v>260</v>
      </c>
      <c r="J15" s="88"/>
      <c r="K15" s="88">
        <f t="shared" si="0"/>
        <v>10</v>
      </c>
      <c r="L15" s="88">
        <f t="shared" si="1"/>
        <v>20</v>
      </c>
      <c r="M15" s="88"/>
      <c r="N15" s="88"/>
      <c r="O15" s="88"/>
      <c r="P15" s="88"/>
      <c r="Q15" s="49">
        <v>5000</v>
      </c>
    </row>
    <row r="16" spans="1:17" ht="13.8" x14ac:dyDescent="0.25">
      <c r="A16" s="83" t="s">
        <v>8</v>
      </c>
      <c r="B16" s="84"/>
      <c r="C16" s="84">
        <v>75</v>
      </c>
      <c r="D16" s="84"/>
      <c r="E16" s="88">
        <v>119</v>
      </c>
      <c r="F16" s="84">
        <v>0</v>
      </c>
      <c r="G16" s="88">
        <v>119</v>
      </c>
      <c r="H16" s="88"/>
      <c r="I16" s="224">
        <v>124</v>
      </c>
      <c r="J16" s="88"/>
      <c r="K16" s="88">
        <f>+G16-C16</f>
        <v>44</v>
      </c>
      <c r="L16" s="88">
        <f>+I16-C16</f>
        <v>49</v>
      </c>
      <c r="M16" s="88"/>
      <c r="N16" s="88"/>
      <c r="O16" s="88"/>
      <c r="P16" s="88"/>
      <c r="Q16" s="49">
        <f>+Q14-Q15</f>
        <v>6092</v>
      </c>
    </row>
    <row r="17" spans="1:17" ht="13.8" x14ac:dyDescent="0.25">
      <c r="A17" s="83" t="s">
        <v>36</v>
      </c>
      <c r="B17" s="84"/>
      <c r="C17" s="84">
        <v>450</v>
      </c>
      <c r="D17" s="84"/>
      <c r="E17" s="88">
        <v>252.99</v>
      </c>
      <c r="F17" s="84">
        <v>0</v>
      </c>
      <c r="G17" s="88">
        <v>252.99</v>
      </c>
      <c r="H17" s="88"/>
      <c r="I17" s="224">
        <v>450</v>
      </c>
      <c r="J17" s="88"/>
      <c r="K17" s="88">
        <f>+G17-C17</f>
        <v>-197.01</v>
      </c>
      <c r="L17" s="88">
        <f>+I17-C17</f>
        <v>0</v>
      </c>
      <c r="M17" s="88"/>
      <c r="N17" s="88"/>
      <c r="O17" s="88"/>
      <c r="P17" s="88"/>
      <c r="Q17" s="69" t="s">
        <v>145</v>
      </c>
    </row>
    <row r="18" spans="1:17" ht="13.8" x14ac:dyDescent="0.25">
      <c r="A18" s="83" t="s">
        <v>133</v>
      </c>
      <c r="B18" s="84"/>
      <c r="C18" s="84">
        <v>7500</v>
      </c>
      <c r="D18" s="84"/>
      <c r="E18" s="88">
        <v>6250</v>
      </c>
      <c r="F18" s="84">
        <v>1250</v>
      </c>
      <c r="G18" s="88">
        <v>7500</v>
      </c>
      <c r="H18" s="88"/>
      <c r="I18" s="224">
        <v>7808</v>
      </c>
      <c r="J18" s="88"/>
      <c r="K18" s="88">
        <f t="shared" si="0"/>
        <v>0</v>
      </c>
      <c r="L18" s="88">
        <f t="shared" si="1"/>
        <v>308</v>
      </c>
      <c r="M18" s="88"/>
      <c r="N18" s="88"/>
      <c r="O18" s="88"/>
      <c r="P18" s="88"/>
      <c r="Q18" s="49" t="s">
        <v>113</v>
      </c>
    </row>
    <row r="19" spans="1:17" ht="13.8" x14ac:dyDescent="0.25">
      <c r="A19" s="83" t="s">
        <v>134</v>
      </c>
      <c r="B19" s="84"/>
      <c r="C19" s="84">
        <v>500</v>
      </c>
      <c r="D19" s="84"/>
      <c r="E19" s="88">
        <v>30</v>
      </c>
      <c r="F19" s="84">
        <v>400</v>
      </c>
      <c r="G19" s="88">
        <v>500</v>
      </c>
      <c r="H19" s="88"/>
      <c r="I19" s="224">
        <v>521</v>
      </c>
      <c r="J19" s="88"/>
      <c r="K19" s="88">
        <f t="shared" si="0"/>
        <v>0</v>
      </c>
      <c r="L19" s="88">
        <f t="shared" si="1"/>
        <v>21</v>
      </c>
      <c r="M19" s="88"/>
      <c r="N19" s="88"/>
      <c r="O19" s="88"/>
      <c r="P19" s="88"/>
    </row>
    <row r="20" spans="1:17" ht="13.8" x14ac:dyDescent="0.25">
      <c r="A20" s="83" t="s">
        <v>22</v>
      </c>
      <c r="B20" s="84"/>
      <c r="C20" s="84">
        <v>8500</v>
      </c>
      <c r="D20" s="84"/>
      <c r="E20" s="88">
        <v>5410.26</v>
      </c>
      <c r="F20" s="88">
        <v>1803.42</v>
      </c>
      <c r="G20" s="88">
        <v>7213.68</v>
      </c>
      <c r="H20" s="88"/>
      <c r="I20" s="224">
        <v>7250</v>
      </c>
      <c r="J20" s="88"/>
      <c r="K20" s="88">
        <f t="shared" si="0"/>
        <v>-1286.3199999999997</v>
      </c>
      <c r="L20" s="88">
        <f t="shared" si="1"/>
        <v>-1250</v>
      </c>
      <c r="M20" s="88"/>
      <c r="N20" s="88"/>
      <c r="O20" s="88"/>
      <c r="P20" s="88"/>
    </row>
    <row r="21" spans="1:17" ht="13.8" x14ac:dyDescent="0.25">
      <c r="A21" s="83" t="s">
        <v>146</v>
      </c>
      <c r="B21" s="84"/>
      <c r="C21" s="84">
        <v>1500</v>
      </c>
      <c r="D21" s="84"/>
      <c r="E21" s="85">
        <v>0</v>
      </c>
      <c r="F21" s="88">
        <v>1500</v>
      </c>
      <c r="G21" s="88">
        <v>1500</v>
      </c>
      <c r="H21" s="84"/>
      <c r="I21" s="226">
        <v>1562</v>
      </c>
      <c r="J21" s="84"/>
      <c r="K21" s="88">
        <f>+G21-C21</f>
        <v>0</v>
      </c>
      <c r="L21" s="84">
        <f>+I21-C21</f>
        <v>62</v>
      </c>
      <c r="M21" s="84"/>
      <c r="N21" s="84"/>
      <c r="O21" s="84"/>
      <c r="P21" s="84"/>
      <c r="Q21" s="69" t="s">
        <v>147</v>
      </c>
    </row>
    <row r="22" spans="1:17" ht="13.8" x14ac:dyDescent="0.25">
      <c r="A22" s="83" t="s">
        <v>139</v>
      </c>
      <c r="B22" s="84"/>
      <c r="C22" s="84">
        <v>0</v>
      </c>
      <c r="D22" s="84"/>
      <c r="E22" s="88">
        <v>0</v>
      </c>
      <c r="F22" s="84">
        <v>0</v>
      </c>
      <c r="G22" s="88">
        <v>0</v>
      </c>
      <c r="H22" s="84"/>
      <c r="I22" s="226">
        <v>250</v>
      </c>
      <c r="J22" s="84"/>
      <c r="K22" s="88">
        <f t="shared" ref="K22" si="3">+G22-C22</f>
        <v>0</v>
      </c>
      <c r="L22" s="84">
        <f t="shared" ref="L22" si="4">+I22-C22</f>
        <v>250</v>
      </c>
      <c r="M22" s="84"/>
      <c r="N22" s="84"/>
      <c r="O22" s="84"/>
      <c r="P22" s="84"/>
      <c r="Q22" s="49" t="s">
        <v>140</v>
      </c>
    </row>
    <row r="23" spans="1:17" ht="13.8" x14ac:dyDescent="0.25">
      <c r="A23" s="83" t="s">
        <v>150</v>
      </c>
      <c r="B23" s="84"/>
      <c r="C23" s="84">
        <v>800</v>
      </c>
      <c r="D23" s="84"/>
      <c r="E23" s="88">
        <v>0</v>
      </c>
      <c r="F23" s="84">
        <v>800</v>
      </c>
      <c r="G23" s="88">
        <v>800</v>
      </c>
      <c r="H23" s="84"/>
      <c r="I23" s="226">
        <v>833</v>
      </c>
      <c r="J23" s="84"/>
      <c r="K23" s="88">
        <f t="shared" si="0"/>
        <v>0</v>
      </c>
      <c r="L23" s="84">
        <f t="shared" si="1"/>
        <v>33</v>
      </c>
      <c r="M23" s="84"/>
      <c r="N23" s="84"/>
      <c r="O23" s="84"/>
      <c r="P23" s="84"/>
    </row>
    <row r="24" spans="1:17" ht="13.8" x14ac:dyDescent="0.25">
      <c r="A24" s="83" t="s">
        <v>7</v>
      </c>
      <c r="B24" s="84"/>
      <c r="C24" s="84">
        <v>200</v>
      </c>
      <c r="D24" s="84"/>
      <c r="E24" s="85">
        <v>0</v>
      </c>
      <c r="F24" s="84">
        <v>200</v>
      </c>
      <c r="G24" s="88">
        <v>200</v>
      </c>
      <c r="H24" s="84"/>
      <c r="I24" s="226">
        <v>250</v>
      </c>
      <c r="J24" s="84"/>
      <c r="K24" s="88">
        <f>+G24-C24</f>
        <v>0</v>
      </c>
      <c r="L24" s="84">
        <f>+I24-C24</f>
        <v>50</v>
      </c>
      <c r="M24" s="84"/>
      <c r="N24" s="84"/>
      <c r="O24" s="84"/>
      <c r="P24" s="84"/>
    </row>
    <row r="25" spans="1:17" ht="13.8" x14ac:dyDescent="0.25">
      <c r="A25" s="83" t="s">
        <v>13</v>
      </c>
      <c r="B25" s="84"/>
      <c r="C25" s="84">
        <v>30</v>
      </c>
      <c r="D25" s="84"/>
      <c r="E25" s="88">
        <v>30</v>
      </c>
      <c r="F25" s="84">
        <v>0</v>
      </c>
      <c r="G25" s="88">
        <v>30</v>
      </c>
      <c r="H25" s="84"/>
      <c r="I25" s="226">
        <v>31</v>
      </c>
      <c r="J25" s="84"/>
      <c r="K25" s="88">
        <f t="shared" si="0"/>
        <v>0</v>
      </c>
      <c r="L25" s="84">
        <f t="shared" si="1"/>
        <v>1</v>
      </c>
      <c r="M25" s="84"/>
      <c r="N25" s="84"/>
      <c r="O25" s="84"/>
      <c r="P25" s="84"/>
    </row>
    <row r="26" spans="1:17" ht="13.8" x14ac:dyDescent="0.25">
      <c r="A26" s="83" t="s">
        <v>15</v>
      </c>
      <c r="B26" s="84"/>
      <c r="C26" s="84">
        <v>250</v>
      </c>
      <c r="D26" s="84"/>
      <c r="E26" s="88">
        <v>250</v>
      </c>
      <c r="F26" s="84">
        <v>0</v>
      </c>
      <c r="G26" s="88">
        <v>250</v>
      </c>
      <c r="H26" s="84"/>
      <c r="I26" s="226">
        <v>260</v>
      </c>
      <c r="J26" s="84"/>
      <c r="K26" s="88">
        <f t="shared" si="0"/>
        <v>0</v>
      </c>
      <c r="L26" s="84">
        <f t="shared" si="1"/>
        <v>10</v>
      </c>
      <c r="M26" s="84"/>
      <c r="N26" s="84"/>
      <c r="O26" s="84"/>
      <c r="P26" s="84"/>
    </row>
    <row r="27" spans="1:17" ht="13.8" x14ac:dyDescent="0.25">
      <c r="A27" s="83" t="s">
        <v>20</v>
      </c>
      <c r="B27" s="84"/>
      <c r="C27" s="87">
        <v>500</v>
      </c>
      <c r="D27" s="87"/>
      <c r="E27" s="88">
        <v>0</v>
      </c>
      <c r="F27" s="88">
        <v>500</v>
      </c>
      <c r="G27" s="88">
        <v>500</v>
      </c>
      <c r="H27" s="84"/>
      <c r="I27" s="226">
        <v>521</v>
      </c>
      <c r="J27" s="84"/>
      <c r="K27" s="88">
        <f>+G27-C27</f>
        <v>0</v>
      </c>
      <c r="L27" s="84">
        <f>+I27-C27</f>
        <v>21</v>
      </c>
      <c r="M27" s="84"/>
      <c r="N27" s="84"/>
      <c r="O27" s="84"/>
      <c r="P27" s="84"/>
      <c r="Q27" s="69" t="s">
        <v>160</v>
      </c>
    </row>
    <row r="28" spans="1:17" ht="13.8" x14ac:dyDescent="0.25">
      <c r="A28" s="83" t="s">
        <v>153</v>
      </c>
      <c r="B28" s="84"/>
      <c r="C28" s="84">
        <v>2000</v>
      </c>
      <c r="D28" s="84"/>
      <c r="E28" s="88">
        <v>0</v>
      </c>
      <c r="F28" s="84">
        <v>0</v>
      </c>
      <c r="G28" s="88">
        <v>0</v>
      </c>
      <c r="H28" s="84"/>
      <c r="I28" s="226">
        <v>1700</v>
      </c>
      <c r="J28" s="84"/>
      <c r="K28" s="88">
        <f t="shared" si="0"/>
        <v>-2000</v>
      </c>
      <c r="L28" s="84">
        <f t="shared" si="1"/>
        <v>-300</v>
      </c>
      <c r="M28" s="84"/>
      <c r="N28" s="84"/>
      <c r="O28" s="84"/>
      <c r="P28" s="84"/>
      <c r="Q28" s="69" t="s">
        <v>152</v>
      </c>
    </row>
    <row r="29" spans="1:17" ht="13.8" x14ac:dyDescent="0.25">
      <c r="A29" s="83" t="s">
        <v>154</v>
      </c>
      <c r="B29" s="84"/>
      <c r="C29" s="84">
        <v>250</v>
      </c>
      <c r="D29" s="84"/>
      <c r="E29" s="88">
        <v>0</v>
      </c>
      <c r="F29" s="84">
        <v>250</v>
      </c>
      <c r="G29" s="88">
        <v>250</v>
      </c>
      <c r="H29" s="84"/>
      <c r="I29" s="226">
        <v>260</v>
      </c>
      <c r="J29" s="84"/>
      <c r="K29" s="88">
        <f t="shared" si="0"/>
        <v>0</v>
      </c>
      <c r="L29" s="84">
        <f t="shared" si="1"/>
        <v>10</v>
      </c>
      <c r="M29" s="84"/>
      <c r="N29" s="84"/>
      <c r="O29" s="84"/>
      <c r="P29" s="84"/>
    </row>
    <row r="30" spans="1:17" s="78" customFormat="1" ht="13.8" x14ac:dyDescent="0.25">
      <c r="A30" s="83" t="s">
        <v>155</v>
      </c>
      <c r="B30" s="87"/>
      <c r="C30" s="87">
        <v>5000</v>
      </c>
      <c r="D30" s="85"/>
      <c r="E30" s="85">
        <v>22.5</v>
      </c>
      <c r="F30" s="84"/>
      <c r="G30" s="88">
        <v>22.5</v>
      </c>
      <c r="H30" s="87"/>
      <c r="I30" s="226">
        <v>0</v>
      </c>
      <c r="J30" s="87"/>
      <c r="K30" s="88">
        <f t="shared" si="0"/>
        <v>-4977.5</v>
      </c>
      <c r="L30" s="84">
        <f t="shared" si="1"/>
        <v>-5000</v>
      </c>
      <c r="M30" s="84"/>
      <c r="N30" s="84"/>
      <c r="O30" s="84"/>
      <c r="P30" s="84"/>
      <c r="Q30" s="69" t="s">
        <v>112</v>
      </c>
    </row>
    <row r="31" spans="1:17" s="91" customFormat="1" ht="13.8" x14ac:dyDescent="0.25">
      <c r="A31" s="83" t="s">
        <v>17</v>
      </c>
      <c r="B31" s="89"/>
      <c r="C31" s="87">
        <v>750</v>
      </c>
      <c r="D31" s="89"/>
      <c r="E31" s="85">
        <v>0</v>
      </c>
      <c r="F31" s="89">
        <v>0</v>
      </c>
      <c r="G31" s="88">
        <v>0</v>
      </c>
      <c r="H31" s="89"/>
      <c r="I31" s="226">
        <v>500</v>
      </c>
      <c r="J31" s="89"/>
      <c r="K31" s="88">
        <f t="shared" si="0"/>
        <v>-750</v>
      </c>
      <c r="L31" s="84">
        <f t="shared" si="1"/>
        <v>-250</v>
      </c>
      <c r="M31" s="84"/>
      <c r="N31" s="84"/>
      <c r="O31" s="84"/>
      <c r="P31" s="84"/>
      <c r="Q31" s="69" t="s">
        <v>156</v>
      </c>
    </row>
    <row r="32" spans="1:17" ht="13.8" x14ac:dyDescent="0.25">
      <c r="A32" s="83" t="s">
        <v>129</v>
      </c>
      <c r="B32" s="84"/>
      <c r="C32" s="87">
        <v>4000</v>
      </c>
      <c r="D32" s="87"/>
      <c r="E32" s="88">
        <v>595</v>
      </c>
      <c r="F32" s="87">
        <v>500</v>
      </c>
      <c r="G32" s="88">
        <v>595</v>
      </c>
      <c r="H32" s="84"/>
      <c r="I32" s="227">
        <v>15000</v>
      </c>
      <c r="J32" s="84"/>
      <c r="K32" s="88">
        <f t="shared" si="0"/>
        <v>-3405</v>
      </c>
      <c r="L32" s="84">
        <f t="shared" si="1"/>
        <v>11000</v>
      </c>
      <c r="M32" s="84"/>
      <c r="N32" s="84"/>
      <c r="O32" s="84"/>
      <c r="P32" s="84"/>
      <c r="Q32" s="69" t="s">
        <v>158</v>
      </c>
    </row>
    <row r="33" spans="1:17" ht="13.8" x14ac:dyDescent="0.25">
      <c r="A33" s="83" t="s">
        <v>11</v>
      </c>
      <c r="B33" s="84"/>
      <c r="C33" s="84">
        <v>420</v>
      </c>
      <c r="D33" s="84"/>
      <c r="E33" s="85">
        <v>504</v>
      </c>
      <c r="F33" s="84">
        <v>0</v>
      </c>
      <c r="G33" s="88">
        <v>504</v>
      </c>
      <c r="H33" s="84"/>
      <c r="I33" s="226">
        <v>600</v>
      </c>
      <c r="J33" s="84"/>
      <c r="K33" s="88">
        <f>+G33-C33</f>
        <v>84</v>
      </c>
      <c r="L33" s="84">
        <f>+I33-C33</f>
        <v>180</v>
      </c>
      <c r="M33" s="84"/>
      <c r="N33" s="84"/>
      <c r="O33" s="84"/>
      <c r="P33" s="84"/>
      <c r="Q33" s="69" t="s">
        <v>159</v>
      </c>
    </row>
    <row r="34" spans="1:17" ht="13.8" x14ac:dyDescent="0.25">
      <c r="A34" s="83" t="s">
        <v>23</v>
      </c>
      <c r="B34" s="84"/>
      <c r="C34" s="87">
        <v>350</v>
      </c>
      <c r="D34" s="84"/>
      <c r="E34" s="85">
        <v>180.42</v>
      </c>
      <c r="F34" s="84">
        <v>45</v>
      </c>
      <c r="G34" s="88">
        <v>225.42</v>
      </c>
      <c r="H34" s="84"/>
      <c r="I34" s="226">
        <v>235</v>
      </c>
      <c r="J34" s="84"/>
      <c r="K34" s="88">
        <f>+G34-C34</f>
        <v>-124.58000000000001</v>
      </c>
      <c r="L34" s="84">
        <f>+I34-C34</f>
        <v>-115</v>
      </c>
      <c r="M34" s="84"/>
      <c r="N34" s="84"/>
      <c r="O34" s="84"/>
      <c r="P34" s="84"/>
    </row>
    <row r="35" spans="1:17" ht="13.8" x14ac:dyDescent="0.25">
      <c r="A35" s="83" t="s">
        <v>21</v>
      </c>
      <c r="B35" s="84"/>
      <c r="C35" s="87">
        <v>500</v>
      </c>
      <c r="D35" s="87"/>
      <c r="E35" s="85" t="s">
        <v>37</v>
      </c>
      <c r="F35" s="84">
        <v>0</v>
      </c>
      <c r="G35" s="90">
        <v>0</v>
      </c>
      <c r="H35" s="84"/>
      <c r="I35" s="227">
        <v>0</v>
      </c>
      <c r="J35" s="84"/>
      <c r="K35" s="88">
        <f t="shared" si="0"/>
        <v>-500</v>
      </c>
      <c r="L35" s="84">
        <f t="shared" si="1"/>
        <v>-500</v>
      </c>
      <c r="M35" s="84"/>
      <c r="N35" s="84"/>
      <c r="O35" s="84"/>
      <c r="P35" s="84"/>
      <c r="Q35" s="69" t="s">
        <v>185</v>
      </c>
    </row>
    <row r="36" spans="1:17" ht="13.8" x14ac:dyDescent="0.25">
      <c r="A36" s="83" t="s">
        <v>26</v>
      </c>
      <c r="B36" s="84"/>
      <c r="C36" s="87">
        <v>200</v>
      </c>
      <c r="D36" s="87"/>
      <c r="E36" s="88">
        <v>0</v>
      </c>
      <c r="F36" s="88">
        <v>200</v>
      </c>
      <c r="G36" s="88">
        <v>200</v>
      </c>
      <c r="H36" s="84"/>
      <c r="I36" s="226">
        <v>260</v>
      </c>
      <c r="J36" s="84"/>
      <c r="K36" s="88">
        <f t="shared" si="0"/>
        <v>0</v>
      </c>
      <c r="L36" s="84">
        <f t="shared" si="1"/>
        <v>60</v>
      </c>
      <c r="M36" s="84"/>
      <c r="N36" s="84"/>
      <c r="O36" s="84"/>
      <c r="P36" s="84"/>
      <c r="Q36" s="69" t="s">
        <v>161</v>
      </c>
    </row>
    <row r="37" spans="1:17" ht="13.8" x14ac:dyDescent="0.25">
      <c r="A37" s="83"/>
      <c r="B37" s="84"/>
      <c r="C37" s="87"/>
      <c r="D37" s="87"/>
      <c r="E37" s="88"/>
      <c r="F37" s="88"/>
      <c r="G37" s="88"/>
      <c r="H37" s="84"/>
      <c r="I37" s="226"/>
      <c r="J37" s="84"/>
      <c r="K37" s="88"/>
      <c r="L37" s="84"/>
      <c r="M37" s="84"/>
      <c r="N37" s="84"/>
      <c r="O37" s="84"/>
      <c r="P37" s="84"/>
      <c r="Q37" s="69"/>
    </row>
    <row r="38" spans="1:17" ht="13.8" x14ac:dyDescent="0.25">
      <c r="A38" s="83"/>
      <c r="B38" s="84"/>
      <c r="C38" s="87"/>
      <c r="D38" s="87"/>
      <c r="E38" s="88"/>
      <c r="F38" s="84"/>
      <c r="G38" s="88"/>
      <c r="H38" s="84"/>
      <c r="I38" s="227"/>
      <c r="J38" s="84"/>
      <c r="K38" s="88"/>
      <c r="L38" s="84"/>
      <c r="M38" s="84"/>
      <c r="N38" s="84"/>
      <c r="O38" s="84"/>
      <c r="P38" s="84"/>
    </row>
    <row r="39" spans="1:17" ht="13.8" x14ac:dyDescent="0.25">
      <c r="A39" s="113" t="s">
        <v>177</v>
      </c>
      <c r="B39" s="114"/>
      <c r="C39" s="199">
        <f>SUM(C5:C36)</f>
        <v>50835.08</v>
      </c>
      <c r="D39" s="199"/>
      <c r="E39" s="199">
        <v>24919.97</v>
      </c>
      <c r="F39" s="199">
        <v>10171.14</v>
      </c>
      <c r="G39" s="199">
        <v>36610.85</v>
      </c>
      <c r="H39" s="199"/>
      <c r="I39" s="199">
        <v>56110.2</v>
      </c>
      <c r="J39" s="199"/>
      <c r="K39" s="200">
        <f>SUM(K5:K38)</f>
        <v>-5552.2300000000005</v>
      </c>
      <c r="L39" s="199">
        <f>SUM(L5:L38)</f>
        <v>5275.1200000000008</v>
      </c>
      <c r="M39" s="114"/>
      <c r="N39" s="114"/>
      <c r="O39" s="114"/>
      <c r="P39" s="114"/>
      <c r="Q39" s="70"/>
    </row>
    <row r="40" spans="1:17" ht="13.8" x14ac:dyDescent="0.25">
      <c r="A40" s="92"/>
      <c r="D40" s="81"/>
      <c r="Q40" s="49">
        <f>3788+1833</f>
        <v>5621</v>
      </c>
    </row>
    <row r="41" spans="1:17" ht="16.2" customHeight="1" x14ac:dyDescent="0.25">
      <c r="A41" s="99" t="s">
        <v>178</v>
      </c>
      <c r="B41" s="100" t="s">
        <v>179</v>
      </c>
      <c r="C41" s="101"/>
      <c r="D41" s="102"/>
      <c r="E41" s="101"/>
      <c r="F41" s="101"/>
      <c r="G41" s="101"/>
      <c r="H41" s="101"/>
      <c r="I41" s="101"/>
      <c r="J41" s="101"/>
      <c r="K41" s="103"/>
    </row>
    <row r="42" spans="1:17" ht="13.8" x14ac:dyDescent="0.25">
      <c r="A42" s="104" t="s">
        <v>92</v>
      </c>
      <c r="B42" s="105"/>
      <c r="C42" s="105"/>
      <c r="D42" s="106"/>
      <c r="E42" s="105"/>
      <c r="F42" s="105"/>
      <c r="G42" s="105"/>
      <c r="H42" s="105"/>
      <c r="I42" s="105"/>
      <c r="J42" s="105"/>
      <c r="K42" s="107"/>
    </row>
    <row r="43" spans="1:17" ht="13.8" x14ac:dyDescent="0.25">
      <c r="A43" s="104" t="s">
        <v>57</v>
      </c>
      <c r="B43" s="108">
        <v>40</v>
      </c>
      <c r="C43" s="105"/>
      <c r="D43" s="105"/>
      <c r="E43" s="105"/>
      <c r="F43" s="105"/>
      <c r="G43" s="105"/>
      <c r="H43" s="105"/>
      <c r="I43" s="105">
        <v>42</v>
      </c>
      <c r="J43" s="105"/>
      <c r="K43" s="107"/>
    </row>
    <row r="44" spans="1:17" ht="13.8" x14ac:dyDescent="0.25">
      <c r="A44" s="104" t="s">
        <v>56</v>
      </c>
      <c r="B44" s="108">
        <v>332</v>
      </c>
      <c r="C44" s="105"/>
      <c r="D44" s="105"/>
      <c r="E44" s="105"/>
      <c r="F44" s="105"/>
      <c r="G44" s="105"/>
      <c r="H44" s="105"/>
      <c r="I44" s="105">
        <v>0</v>
      </c>
      <c r="J44" s="105"/>
      <c r="K44" s="107"/>
    </row>
    <row r="45" spans="1:17" ht="13.8" x14ac:dyDescent="0.25">
      <c r="A45" s="104" t="s">
        <v>58</v>
      </c>
      <c r="B45" s="108">
        <v>28.78</v>
      </c>
      <c r="C45" s="105"/>
      <c r="D45" s="105"/>
      <c r="E45" s="105"/>
      <c r="F45" s="105"/>
      <c r="G45" s="105"/>
      <c r="H45" s="105"/>
      <c r="I45" s="105">
        <v>30</v>
      </c>
      <c r="J45" s="105"/>
      <c r="K45" s="107"/>
    </row>
    <row r="46" spans="1:17" ht="13.8" x14ac:dyDescent="0.25">
      <c r="A46" s="104" t="s">
        <v>106</v>
      </c>
      <c r="B46" s="108">
        <f>12.36*12</f>
        <v>148.32</v>
      </c>
      <c r="C46" s="105"/>
      <c r="D46" s="105"/>
      <c r="E46" s="105"/>
      <c r="F46" s="105"/>
      <c r="G46" s="105"/>
      <c r="H46" s="105"/>
      <c r="I46" s="105">
        <v>154</v>
      </c>
      <c r="J46" s="105"/>
      <c r="K46" s="107"/>
    </row>
    <row r="47" spans="1:17" ht="13.8" x14ac:dyDescent="0.25">
      <c r="A47" s="109"/>
      <c r="B47" s="110">
        <f>SUM(B43:B46)</f>
        <v>549.09999999999991</v>
      </c>
      <c r="C47" s="111"/>
      <c r="D47" s="111"/>
      <c r="E47" s="111"/>
      <c r="F47" s="111"/>
      <c r="G47" s="111"/>
      <c r="H47" s="111"/>
      <c r="I47" s="110">
        <v>226</v>
      </c>
      <c r="J47" s="111"/>
      <c r="K47" s="112"/>
    </row>
    <row r="48" spans="1:17" ht="13.8" x14ac:dyDescent="0.25">
      <c r="A48" s="94"/>
    </row>
    <row r="49" spans="1:17" ht="13.8" x14ac:dyDescent="0.25">
      <c r="A49" s="113" t="s">
        <v>175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5"/>
      <c r="L49" s="114"/>
      <c r="M49" s="114"/>
      <c r="N49" s="114"/>
      <c r="O49" s="114"/>
      <c r="P49" s="114"/>
      <c r="Q49" s="70"/>
    </row>
    <row r="50" spans="1:17" s="78" customFormat="1" ht="13.8" x14ac:dyDescent="0.25">
      <c r="A50" s="116" t="s">
        <v>126</v>
      </c>
      <c r="B50" s="117"/>
      <c r="C50" s="117">
        <v>3500</v>
      </c>
      <c r="D50" s="118"/>
      <c r="E50" s="117"/>
      <c r="F50" s="117"/>
      <c r="G50" s="117"/>
      <c r="H50" s="117"/>
      <c r="I50" s="117"/>
      <c r="J50" s="117"/>
      <c r="K50" s="117"/>
      <c r="L50" s="188"/>
      <c r="M50" s="84"/>
      <c r="N50" s="84"/>
      <c r="O50" s="84"/>
      <c r="P50" s="84"/>
      <c r="Q50" s="69" t="s">
        <v>196</v>
      </c>
    </row>
    <row r="51" spans="1:17" s="78" customFormat="1" ht="41.4" x14ac:dyDescent="0.25">
      <c r="A51" s="121" t="s">
        <v>195</v>
      </c>
      <c r="B51" s="87"/>
      <c r="C51" s="87"/>
      <c r="D51" s="122"/>
      <c r="E51" s="87"/>
      <c r="F51" s="87"/>
      <c r="G51" s="87"/>
      <c r="H51" s="87"/>
      <c r="I51" s="87"/>
      <c r="J51" s="87"/>
      <c r="K51" s="85"/>
      <c r="L51" s="123"/>
      <c r="M51" s="87"/>
      <c r="N51" s="87"/>
      <c r="O51" s="87"/>
      <c r="P51" s="87"/>
      <c r="Q51" s="69"/>
    </row>
    <row r="52" spans="1:17" s="78" customFormat="1" ht="13.8" x14ac:dyDescent="0.25">
      <c r="A52" s="124" t="s">
        <v>39</v>
      </c>
      <c r="B52" s="125"/>
      <c r="C52" s="126"/>
      <c r="D52" s="127"/>
      <c r="E52" s="125">
        <v>3000</v>
      </c>
      <c r="F52" s="125">
        <v>0</v>
      </c>
      <c r="G52" s="128">
        <v>3000</v>
      </c>
      <c r="H52" s="125"/>
      <c r="I52" s="87"/>
      <c r="J52" s="87"/>
      <c r="K52" s="87"/>
      <c r="L52" s="123"/>
      <c r="M52" s="87"/>
      <c r="N52" s="87"/>
      <c r="O52" s="87"/>
      <c r="P52" s="87"/>
      <c r="Q52" s="69"/>
    </row>
    <row r="53" spans="1:17" s="78" customFormat="1" ht="13.8" x14ac:dyDescent="0.25">
      <c r="A53" s="113" t="s">
        <v>126</v>
      </c>
      <c r="B53" s="189"/>
      <c r="C53" s="190"/>
      <c r="D53" s="191"/>
      <c r="E53" s="189"/>
      <c r="F53" s="189"/>
      <c r="G53" s="192"/>
      <c r="H53" s="189"/>
      <c r="I53" s="193">
        <v>4250</v>
      </c>
      <c r="J53" s="193"/>
      <c r="K53" s="194"/>
      <c r="L53" s="195">
        <f>+I53-C50</f>
        <v>750</v>
      </c>
      <c r="M53" s="87"/>
      <c r="N53" s="87"/>
      <c r="O53" s="87"/>
      <c r="P53" s="87"/>
      <c r="Q53" s="69"/>
    </row>
    <row r="54" spans="1:17" s="78" customFormat="1" ht="13.8" x14ac:dyDescent="0.25">
      <c r="A54" s="92"/>
      <c r="D54" s="130"/>
      <c r="K54" s="131"/>
      <c r="Q54" s="69"/>
    </row>
    <row r="55" spans="1:17" ht="13.8" x14ac:dyDescent="0.25">
      <c r="A55" s="113" t="s">
        <v>194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5"/>
      <c r="L55" s="195"/>
      <c r="M55" s="82"/>
      <c r="N55" s="82"/>
      <c r="O55" s="82"/>
      <c r="P55" s="82"/>
      <c r="Q55" s="60"/>
    </row>
    <row r="56" spans="1:17" ht="13.8" x14ac:dyDescent="0.25">
      <c r="A56" s="139" t="s">
        <v>126</v>
      </c>
      <c r="B56" s="84"/>
      <c r="C56" s="84"/>
      <c r="D56" s="84"/>
      <c r="E56" s="84"/>
      <c r="F56" s="84"/>
      <c r="G56" s="84"/>
      <c r="H56" s="84"/>
      <c r="I56" s="84"/>
      <c r="J56" s="84"/>
      <c r="K56" s="88"/>
      <c r="L56" s="141"/>
      <c r="M56" s="84"/>
      <c r="N56" s="84"/>
      <c r="O56" s="84"/>
      <c r="P56" s="84"/>
    </row>
    <row r="57" spans="1:17" ht="13.8" x14ac:dyDescent="0.25">
      <c r="A57" s="124" t="s">
        <v>93</v>
      </c>
      <c r="B57" s="68"/>
      <c r="C57" s="68"/>
      <c r="D57" s="125"/>
      <c r="E57" s="68">
        <v>170</v>
      </c>
      <c r="F57" s="68">
        <v>0</v>
      </c>
      <c r="G57" s="128">
        <v>170</v>
      </c>
      <c r="H57" s="68"/>
      <c r="I57" s="68"/>
      <c r="J57" s="68"/>
      <c r="K57" s="128"/>
      <c r="L57" s="136"/>
      <c r="M57" s="84">
        <v>0</v>
      </c>
      <c r="N57" s="84"/>
      <c r="O57" s="84"/>
      <c r="P57" s="84"/>
    </row>
    <row r="58" spans="1:17" ht="13.8" x14ac:dyDescent="0.25">
      <c r="A58" s="113" t="s">
        <v>126</v>
      </c>
      <c r="B58" s="196"/>
      <c r="C58" s="114">
        <v>3000</v>
      </c>
      <c r="D58" s="193"/>
      <c r="E58" s="114"/>
      <c r="F58" s="114"/>
      <c r="G58" s="114"/>
      <c r="H58" s="114"/>
      <c r="I58" s="193">
        <v>3000</v>
      </c>
      <c r="J58" s="114"/>
      <c r="K58" s="115"/>
      <c r="L58" s="195">
        <f t="shared" ref="L58" si="5">+I58-C58</f>
        <v>0</v>
      </c>
      <c r="M58" s="84"/>
      <c r="N58" s="84"/>
      <c r="O58" s="84"/>
      <c r="P58" s="84"/>
    </row>
    <row r="59" spans="1:17" ht="13.8" x14ac:dyDescent="0.25">
      <c r="A59" s="92"/>
      <c r="D59" s="78"/>
    </row>
    <row r="60" spans="1:17" ht="13.8" x14ac:dyDescent="0.25">
      <c r="A60" s="113" t="s">
        <v>174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5"/>
      <c r="L60" s="114"/>
      <c r="M60" s="114"/>
      <c r="N60" s="114"/>
      <c r="O60" s="114"/>
      <c r="P60" s="114"/>
      <c r="Q60" s="70"/>
    </row>
    <row r="61" spans="1:17" ht="13.8" x14ac:dyDescent="0.25">
      <c r="A61" s="116" t="s">
        <v>198</v>
      </c>
      <c r="B61" s="134"/>
      <c r="C61" s="134">
        <v>4000</v>
      </c>
      <c r="D61" s="117"/>
      <c r="E61" s="134">
        <v>0</v>
      </c>
      <c r="F61" s="134">
        <v>0</v>
      </c>
      <c r="G61" s="134">
        <v>0</v>
      </c>
      <c r="H61" s="134"/>
      <c r="I61" s="117">
        <v>3000</v>
      </c>
      <c r="J61" s="134"/>
      <c r="K61" s="135"/>
      <c r="L61" s="120">
        <f t="shared" ref="L61" si="6">+I61-C61</f>
        <v>-1000</v>
      </c>
      <c r="M61" s="84"/>
      <c r="N61" s="84"/>
      <c r="O61" s="84"/>
      <c r="P61" s="84"/>
      <c r="Q61" s="69"/>
    </row>
    <row r="62" spans="1:17" ht="13.8" x14ac:dyDescent="0.25">
      <c r="A62" s="137"/>
      <c r="B62" s="68"/>
      <c r="C62" s="68"/>
      <c r="D62" s="125"/>
      <c r="E62" s="68"/>
      <c r="F62" s="68"/>
      <c r="G62" s="68"/>
      <c r="H62" s="68"/>
      <c r="I62" s="68"/>
      <c r="J62" s="68"/>
      <c r="K62" s="128"/>
      <c r="L62" s="136"/>
      <c r="M62" s="84"/>
      <c r="N62" s="84"/>
      <c r="O62" s="84"/>
      <c r="P62" s="84"/>
    </row>
    <row r="63" spans="1:17" ht="13.8" x14ac:dyDescent="0.25">
      <c r="A63" s="113" t="s">
        <v>126</v>
      </c>
      <c r="B63" s="114"/>
      <c r="C63" s="114">
        <v>4000</v>
      </c>
      <c r="D63" s="193"/>
      <c r="E63" s="114">
        <v>0</v>
      </c>
      <c r="F63" s="114">
        <v>0</v>
      </c>
      <c r="G63" s="114">
        <v>0</v>
      </c>
      <c r="H63" s="114"/>
      <c r="I63" s="193">
        <v>3000</v>
      </c>
      <c r="J63" s="114"/>
      <c r="K63" s="115"/>
      <c r="L63" s="195">
        <f t="shared" ref="L63" si="7">+I63-C63</f>
        <v>-1000</v>
      </c>
      <c r="M63" s="84"/>
      <c r="N63" s="84"/>
      <c r="O63" s="84"/>
      <c r="P63" s="84"/>
    </row>
    <row r="64" spans="1:17" ht="13.8" x14ac:dyDescent="0.25">
      <c r="A64" s="138"/>
      <c r="D64" s="78"/>
    </row>
    <row r="65" spans="1:17" ht="13.8" x14ac:dyDescent="0.25">
      <c r="A65" s="113" t="s">
        <v>197</v>
      </c>
      <c r="B65" s="114"/>
      <c r="C65" s="114"/>
      <c r="D65" s="114"/>
      <c r="E65" s="114"/>
      <c r="F65" s="114"/>
      <c r="G65" s="114"/>
      <c r="H65" s="114"/>
      <c r="I65" s="114"/>
      <c r="J65" s="114"/>
      <c r="K65" s="115"/>
      <c r="L65" s="114"/>
      <c r="M65" s="114"/>
      <c r="N65" s="114"/>
      <c r="O65" s="114"/>
      <c r="P65" s="114"/>
      <c r="Q65" s="70"/>
    </row>
    <row r="66" spans="1:17" ht="13.8" x14ac:dyDescent="0.25">
      <c r="A66" s="139" t="s">
        <v>41</v>
      </c>
      <c r="B66" s="84"/>
      <c r="C66" s="84"/>
      <c r="D66" s="85"/>
      <c r="E66" s="140">
        <v>5000</v>
      </c>
      <c r="F66" s="84"/>
      <c r="G66" s="140">
        <v>4209.58</v>
      </c>
      <c r="H66" s="84"/>
      <c r="I66" s="84"/>
      <c r="J66" s="84"/>
      <c r="K66" s="88"/>
      <c r="L66" s="141"/>
      <c r="M66" s="84">
        <v>0</v>
      </c>
      <c r="N66" s="84"/>
      <c r="O66" s="84"/>
      <c r="P66" s="84"/>
    </row>
    <row r="67" spans="1:17" ht="13.8" x14ac:dyDescent="0.25">
      <c r="A67" s="142" t="s">
        <v>164</v>
      </c>
      <c r="B67" s="84">
        <v>24.58</v>
      </c>
      <c r="C67" s="84"/>
      <c r="D67" s="85"/>
      <c r="E67" s="84"/>
      <c r="F67" s="84"/>
      <c r="G67" s="84"/>
      <c r="H67" s="84"/>
      <c r="I67" s="84"/>
      <c r="J67" s="84"/>
      <c r="K67" s="88"/>
      <c r="L67" s="141"/>
      <c r="M67" s="84"/>
      <c r="N67" s="84"/>
      <c r="O67" s="84"/>
      <c r="P67" s="84"/>
    </row>
    <row r="68" spans="1:17" ht="13.8" x14ac:dyDescent="0.25">
      <c r="A68" s="142" t="s">
        <v>165</v>
      </c>
      <c r="B68" s="84">
        <v>450</v>
      </c>
      <c r="C68" s="84"/>
      <c r="D68" s="85"/>
      <c r="E68" s="84"/>
      <c r="F68" s="84"/>
      <c r="G68" s="84"/>
      <c r="H68" s="84"/>
      <c r="I68" s="84"/>
      <c r="J68" s="84"/>
      <c r="K68" s="88"/>
      <c r="L68" s="141"/>
      <c r="M68" s="84"/>
      <c r="N68" s="84"/>
      <c r="O68" s="84"/>
      <c r="P68" s="84"/>
    </row>
    <row r="69" spans="1:17" ht="13.8" x14ac:dyDescent="0.25">
      <c r="A69" s="142" t="s">
        <v>166</v>
      </c>
      <c r="B69" s="84">
        <v>400</v>
      </c>
      <c r="C69" s="84"/>
      <c r="D69" s="143"/>
      <c r="E69" s="84"/>
      <c r="F69" s="84"/>
      <c r="G69" s="84"/>
      <c r="H69" s="84"/>
      <c r="I69" s="84"/>
      <c r="J69" s="84"/>
      <c r="K69" s="88"/>
      <c r="L69" s="141"/>
      <c r="M69" s="84"/>
      <c r="N69" s="84"/>
      <c r="O69" s="84"/>
      <c r="P69" s="84"/>
    </row>
    <row r="70" spans="1:17" ht="13.8" x14ac:dyDescent="0.25">
      <c r="A70" s="142" t="s">
        <v>47</v>
      </c>
      <c r="B70" s="84">
        <v>522.5</v>
      </c>
      <c r="C70" s="84"/>
      <c r="D70" s="84"/>
      <c r="E70" s="84"/>
      <c r="F70" s="84"/>
      <c r="G70" s="84"/>
      <c r="H70" s="84"/>
      <c r="I70" s="84"/>
      <c r="J70" s="84"/>
      <c r="K70" s="88"/>
      <c r="L70" s="141"/>
      <c r="M70" s="84"/>
      <c r="N70" s="84"/>
      <c r="O70" s="84"/>
      <c r="P70" s="84"/>
    </row>
    <row r="71" spans="1:17" ht="13.8" x14ac:dyDescent="0.25">
      <c r="A71" s="142" t="s">
        <v>45</v>
      </c>
      <c r="B71" s="87">
        <v>2572.5</v>
      </c>
      <c r="C71" s="84"/>
      <c r="D71" s="84"/>
      <c r="E71" s="84"/>
      <c r="F71" s="84"/>
      <c r="G71" s="84"/>
      <c r="H71" s="84"/>
      <c r="I71" s="84"/>
      <c r="J71" s="84"/>
      <c r="K71" s="88"/>
      <c r="L71" s="141"/>
      <c r="M71" s="84"/>
      <c r="N71" s="84"/>
      <c r="O71" s="84"/>
      <c r="P71" s="84"/>
    </row>
    <row r="72" spans="1:17" ht="13.8" x14ac:dyDescent="0.25">
      <c r="A72" s="142" t="s">
        <v>46</v>
      </c>
      <c r="B72" s="84">
        <v>240</v>
      </c>
      <c r="C72" s="84"/>
      <c r="D72" s="84"/>
      <c r="E72" s="84"/>
      <c r="F72" s="84"/>
      <c r="G72" s="84"/>
      <c r="H72" s="84"/>
      <c r="I72" s="84"/>
      <c r="J72" s="84"/>
      <c r="K72" s="88"/>
      <c r="L72" s="141"/>
      <c r="M72" s="84"/>
      <c r="N72" s="84"/>
      <c r="O72" s="84"/>
      <c r="P72" s="84"/>
    </row>
    <row r="73" spans="1:17" ht="13.8" x14ac:dyDescent="0.25">
      <c r="A73" s="144" t="s">
        <v>192</v>
      </c>
      <c r="B73" s="143">
        <f>SUM(B67:B72)</f>
        <v>4209.58</v>
      </c>
      <c r="C73" s="145"/>
      <c r="D73" s="84"/>
      <c r="E73" s="84"/>
      <c r="F73" s="84"/>
      <c r="G73" s="84"/>
      <c r="H73" s="84"/>
      <c r="I73" s="84"/>
      <c r="J73" s="84"/>
      <c r="K73" s="88"/>
      <c r="L73" s="141"/>
      <c r="M73" s="84"/>
      <c r="N73" s="84"/>
      <c r="O73" s="84"/>
      <c r="P73" s="84"/>
    </row>
    <row r="74" spans="1:17" ht="13.8" x14ac:dyDescent="0.25">
      <c r="A74" s="146" t="s">
        <v>54</v>
      </c>
      <c r="B74" s="147"/>
      <c r="C74" s="84"/>
      <c r="D74" s="84"/>
      <c r="E74" s="84">
        <v>200</v>
      </c>
      <c r="F74" s="84"/>
      <c r="G74" s="84">
        <v>200</v>
      </c>
      <c r="H74" s="84"/>
      <c r="I74" s="84"/>
      <c r="J74" s="84"/>
      <c r="K74" s="88"/>
      <c r="L74" s="141"/>
      <c r="M74" s="84"/>
      <c r="N74" s="84"/>
      <c r="O74" s="84"/>
      <c r="P74" s="84"/>
    </row>
    <row r="75" spans="1:17" ht="10.8" customHeight="1" x14ac:dyDescent="0.25">
      <c r="A75" s="148" t="s">
        <v>162</v>
      </c>
      <c r="B75" s="68"/>
      <c r="C75" s="68"/>
      <c r="D75" s="68"/>
      <c r="E75" s="68">
        <v>92.94</v>
      </c>
      <c r="F75" s="68"/>
      <c r="G75" s="68">
        <v>92.94</v>
      </c>
      <c r="H75" s="68"/>
      <c r="I75" s="68"/>
      <c r="J75" s="68"/>
      <c r="K75" s="128"/>
      <c r="L75" s="136">
        <f t="shared" ref="L75" si="8">+I75-C75</f>
        <v>0</v>
      </c>
      <c r="M75" s="84"/>
      <c r="N75" s="84"/>
      <c r="O75" s="84"/>
      <c r="P75" s="84"/>
    </row>
    <row r="76" spans="1:17" ht="14.4" customHeight="1" x14ac:dyDescent="0.25">
      <c r="A76" s="113" t="s">
        <v>126</v>
      </c>
      <c r="B76" s="114"/>
      <c r="C76" s="114">
        <v>10000</v>
      </c>
      <c r="D76" s="194"/>
      <c r="E76" s="114"/>
      <c r="F76" s="114"/>
      <c r="G76" s="114"/>
      <c r="H76" s="114"/>
      <c r="I76" s="114">
        <v>10000</v>
      </c>
      <c r="J76" s="114"/>
      <c r="K76" s="115"/>
      <c r="L76" s="195">
        <f t="shared" ref="L76" si="9">+I76-C76</f>
        <v>0</v>
      </c>
      <c r="M76" s="84"/>
      <c r="N76" s="84"/>
      <c r="O76" s="84"/>
      <c r="P76" s="84"/>
    </row>
    <row r="77" spans="1:17" ht="13.8" x14ac:dyDescent="0.25">
      <c r="A77" s="92"/>
      <c r="B77" s="149"/>
    </row>
    <row r="78" spans="1:17" ht="13.8" x14ac:dyDescent="0.25">
      <c r="A78" s="113" t="s">
        <v>193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5"/>
      <c r="L78" s="114"/>
      <c r="M78" s="114"/>
      <c r="N78" s="114"/>
      <c r="O78" s="114"/>
      <c r="P78" s="114"/>
      <c r="Q78" s="70"/>
    </row>
    <row r="79" spans="1:17" ht="27.6" x14ac:dyDescent="0.25">
      <c r="A79" s="66" t="s">
        <v>180</v>
      </c>
      <c r="B79" s="67"/>
      <c r="C79" s="68">
        <v>0</v>
      </c>
      <c r="D79" s="68"/>
      <c r="E79" s="68">
        <v>0</v>
      </c>
      <c r="F79" s="68">
        <v>0</v>
      </c>
      <c r="G79" s="68">
        <v>0</v>
      </c>
      <c r="H79" s="68"/>
      <c r="I79" s="68">
        <v>5000</v>
      </c>
      <c r="J79" s="68"/>
      <c r="K79" s="128"/>
      <c r="L79" s="136">
        <f t="shared" ref="L79" si="10">+I79-C79</f>
        <v>5000</v>
      </c>
      <c r="M79" s="84"/>
      <c r="N79" s="84"/>
      <c r="O79" s="84"/>
      <c r="P79" s="84"/>
    </row>
    <row r="80" spans="1:17" ht="13.8" x14ac:dyDescent="0.25">
      <c r="A80" s="197"/>
      <c r="B80" s="198"/>
      <c r="C80" s="114">
        <v>0</v>
      </c>
      <c r="D80" s="114"/>
      <c r="E80" s="114">
        <v>0</v>
      </c>
      <c r="F80" s="114">
        <v>0</v>
      </c>
      <c r="G80" s="114">
        <v>0</v>
      </c>
      <c r="H80" s="114"/>
      <c r="I80" s="114">
        <v>5000</v>
      </c>
      <c r="J80" s="114"/>
      <c r="K80" s="115"/>
      <c r="L80" s="195">
        <f t="shared" ref="L80" si="11">+I80-C80</f>
        <v>5000</v>
      </c>
      <c r="M80" s="84"/>
      <c r="N80" s="84"/>
      <c r="O80" s="84"/>
      <c r="P80" s="84"/>
    </row>
    <row r="81" spans="1:17" ht="13.8" x14ac:dyDescent="0.25">
      <c r="A81" s="92"/>
      <c r="B81" s="150"/>
    </row>
    <row r="82" spans="1:17" ht="13.8" x14ac:dyDescent="0.25">
      <c r="A82" s="151" t="s">
        <v>181</v>
      </c>
      <c r="B82" s="152"/>
      <c r="C82" s="153">
        <f>SUM(C39:C81)</f>
        <v>75335.08</v>
      </c>
      <c r="D82" s="154"/>
      <c r="E82" s="153">
        <v>33382.910000000003</v>
      </c>
      <c r="F82" s="153">
        <v>10171.14</v>
      </c>
      <c r="G82" s="153">
        <v>44283.37</v>
      </c>
      <c r="H82" s="154"/>
      <c r="I82" s="153">
        <v>81812.2</v>
      </c>
      <c r="J82" s="154"/>
      <c r="K82" s="154"/>
      <c r="L82" s="153">
        <f t="shared" ref="L82" si="12">+I82-C82</f>
        <v>6477.1199999999953</v>
      </c>
      <c r="M82" s="153"/>
      <c r="N82" s="153"/>
      <c r="O82" s="153"/>
      <c r="P82" s="153"/>
      <c r="Q82" s="71"/>
    </row>
    <row r="83" spans="1:17" x14ac:dyDescent="0.25">
      <c r="I83" s="77">
        <f>+I80+I76+I63+I58+I53+I39</f>
        <v>81360.2</v>
      </c>
      <c r="K83" s="77"/>
    </row>
    <row r="84" spans="1:17" s="49" customFormat="1" ht="15.6" x14ac:dyDescent="0.25">
      <c r="A84" s="65" t="s">
        <v>183</v>
      </c>
      <c r="B84" s="62"/>
      <c r="C84" s="61"/>
      <c r="D84" s="61"/>
      <c r="E84" s="61"/>
      <c r="F84" s="61"/>
      <c r="G84" s="61"/>
      <c r="H84" s="61"/>
      <c r="I84" s="61"/>
      <c r="J84" s="63"/>
      <c r="K84" s="64"/>
      <c r="L84" s="61"/>
      <c r="M84" s="61"/>
      <c r="N84" s="61"/>
      <c r="O84" s="61"/>
      <c r="P84" s="61"/>
      <c r="Q84" s="63"/>
    </row>
    <row r="85" spans="1:17" ht="13.8" x14ac:dyDescent="0.25">
      <c r="A85" s="155"/>
      <c r="B85" s="156"/>
      <c r="C85" s="157"/>
      <c r="D85" s="157"/>
      <c r="E85" s="157"/>
      <c r="F85" s="157"/>
      <c r="G85" s="158" t="s">
        <v>170</v>
      </c>
      <c r="H85" s="158"/>
      <c r="I85" s="158" t="s">
        <v>122</v>
      </c>
      <c r="J85" s="157"/>
      <c r="K85" s="159"/>
      <c r="L85" s="157"/>
      <c r="M85" s="157"/>
      <c r="N85" s="157"/>
      <c r="O85" s="157"/>
      <c r="P85" s="157"/>
      <c r="Q85" s="72"/>
    </row>
    <row r="86" spans="1:17" ht="13.8" x14ac:dyDescent="0.25">
      <c r="A86" s="160" t="s">
        <v>169</v>
      </c>
      <c r="B86" s="161"/>
      <c r="C86" s="162"/>
      <c r="D86" s="162"/>
      <c r="E86" s="162"/>
      <c r="F86" s="162"/>
      <c r="G86" s="163">
        <v>49835.08</v>
      </c>
      <c r="H86" s="164"/>
      <c r="I86" s="164">
        <v>61.72</v>
      </c>
      <c r="J86" s="162"/>
      <c r="K86" s="165"/>
      <c r="L86" s="162"/>
      <c r="M86" s="162"/>
      <c r="N86" s="162"/>
      <c r="O86" s="162"/>
      <c r="P86" s="162"/>
      <c r="Q86" s="73"/>
    </row>
    <row r="87" spans="1:17" ht="13.8" x14ac:dyDescent="0.25">
      <c r="A87" s="166"/>
      <c r="B87" s="161"/>
      <c r="C87" s="162"/>
      <c r="D87" s="162"/>
      <c r="E87" s="162"/>
      <c r="F87" s="162"/>
      <c r="G87" s="167"/>
      <c r="H87" s="162"/>
      <c r="I87" s="162"/>
      <c r="J87" s="162"/>
      <c r="K87" s="167"/>
      <c r="L87" s="162"/>
      <c r="M87" s="162"/>
      <c r="N87" s="162"/>
      <c r="O87" s="162"/>
      <c r="P87" s="162"/>
      <c r="Q87" s="73"/>
    </row>
    <row r="88" spans="1:17" ht="13.8" x14ac:dyDescent="0.25">
      <c r="A88" s="160" t="s">
        <v>171</v>
      </c>
      <c r="B88" s="162"/>
      <c r="C88" s="168"/>
      <c r="D88" s="162"/>
      <c r="E88" s="162"/>
      <c r="F88" s="162"/>
      <c r="G88" s="169" t="s">
        <v>126</v>
      </c>
      <c r="H88" s="170"/>
      <c r="I88" s="170" t="s">
        <v>127</v>
      </c>
      <c r="J88" s="162"/>
      <c r="K88" s="167"/>
      <c r="L88" s="162"/>
      <c r="M88" s="162"/>
      <c r="N88" s="162"/>
      <c r="O88" s="162"/>
      <c r="P88" s="162"/>
      <c r="Q88" s="73"/>
    </row>
    <row r="89" spans="1:17" x14ac:dyDescent="0.25">
      <c r="A89" s="171" t="s">
        <v>108</v>
      </c>
      <c r="B89" s="162"/>
      <c r="C89" s="162"/>
      <c r="D89" s="162"/>
      <c r="E89" s="162"/>
      <c r="F89" s="162"/>
      <c r="G89" s="172">
        <v>81812.2</v>
      </c>
      <c r="H89" s="162"/>
      <c r="I89" s="162"/>
      <c r="J89" s="162"/>
      <c r="K89" s="167"/>
      <c r="L89" s="162"/>
      <c r="M89" s="162"/>
      <c r="N89" s="162"/>
      <c r="O89" s="162"/>
      <c r="P89" s="162"/>
      <c r="Q89" s="73"/>
    </row>
    <row r="90" spans="1:17" x14ac:dyDescent="0.25">
      <c r="A90" s="171" t="s">
        <v>109</v>
      </c>
      <c r="B90" s="162"/>
      <c r="C90" s="162"/>
      <c r="D90" s="162"/>
      <c r="E90" s="162"/>
      <c r="F90" s="162"/>
      <c r="G90" s="172">
        <v>-27051.71</v>
      </c>
      <c r="H90" s="162"/>
      <c r="I90" s="162"/>
      <c r="J90" s="162"/>
      <c r="K90" s="167"/>
      <c r="L90" s="162"/>
      <c r="M90" s="162"/>
      <c r="N90" s="162"/>
      <c r="O90" s="162"/>
      <c r="P90" s="162"/>
      <c r="Q90" s="73"/>
    </row>
    <row r="91" spans="1:17" x14ac:dyDescent="0.25">
      <c r="A91" s="171" t="s">
        <v>107</v>
      </c>
      <c r="B91" s="162"/>
      <c r="C91" s="162"/>
      <c r="D91" s="162"/>
      <c r="E91" s="162"/>
      <c r="F91" s="162"/>
      <c r="G91" s="163">
        <v>54760.49</v>
      </c>
      <c r="H91" s="164"/>
      <c r="I91" s="173">
        <v>67.820046497366903</v>
      </c>
      <c r="J91" s="162"/>
      <c r="K91" s="167"/>
      <c r="L91" s="162"/>
      <c r="M91" s="162"/>
      <c r="N91" s="162"/>
      <c r="O91" s="162"/>
      <c r="P91" s="162"/>
      <c r="Q91" s="73"/>
    </row>
    <row r="92" spans="1:17" x14ac:dyDescent="0.25">
      <c r="A92" s="171" t="s">
        <v>25</v>
      </c>
      <c r="B92" s="162"/>
      <c r="C92" s="162"/>
      <c r="D92" s="162"/>
      <c r="E92" s="162"/>
      <c r="F92" s="162"/>
      <c r="G92" s="167"/>
      <c r="H92" s="162"/>
      <c r="I92" s="168"/>
      <c r="J92" s="162"/>
      <c r="K92" s="167"/>
      <c r="L92" s="162"/>
      <c r="M92" s="162"/>
      <c r="N92" s="162"/>
      <c r="O92" s="162"/>
      <c r="P92" s="162"/>
      <c r="Q92" s="73"/>
    </row>
    <row r="93" spans="1:17" x14ac:dyDescent="0.25">
      <c r="A93" s="171"/>
      <c r="B93" s="162"/>
      <c r="C93" s="162"/>
      <c r="D93" s="162"/>
      <c r="E93" s="162"/>
      <c r="F93" s="162"/>
      <c r="G93" s="169" t="s">
        <v>126</v>
      </c>
      <c r="H93" s="170"/>
      <c r="I93" s="170" t="s">
        <v>127</v>
      </c>
      <c r="J93" s="170"/>
      <c r="K93" s="169" t="s">
        <v>172</v>
      </c>
      <c r="L93" s="162"/>
      <c r="M93" s="162"/>
      <c r="N93" s="162"/>
      <c r="O93" s="162"/>
      <c r="P93" s="162"/>
      <c r="Q93" s="73"/>
    </row>
    <row r="94" spans="1:17" x14ac:dyDescent="0.25">
      <c r="A94" s="171" t="s">
        <v>173</v>
      </c>
      <c r="B94" s="162"/>
      <c r="C94" s="162"/>
      <c r="D94" s="162"/>
      <c r="E94" s="162"/>
      <c r="F94" s="162"/>
      <c r="G94" s="163">
        <v>4925.4099999999962</v>
      </c>
      <c r="H94" s="164"/>
      <c r="I94" s="173">
        <v>6.100046497366904</v>
      </c>
      <c r="J94" s="162"/>
      <c r="K94" s="174">
        <f>+I94/I86%</f>
        <v>9.8834194707824121</v>
      </c>
      <c r="L94" s="162"/>
      <c r="M94" s="162"/>
      <c r="N94" s="162"/>
      <c r="O94" s="162"/>
      <c r="P94" s="162"/>
      <c r="Q94" s="73"/>
    </row>
    <row r="95" spans="1:17" ht="7.8" hidden="1" customHeight="1" x14ac:dyDescent="0.25">
      <c r="A95" s="175" t="s">
        <v>167</v>
      </c>
      <c r="Q95" s="73"/>
    </row>
    <row r="96" spans="1:17" ht="13.8" hidden="1" x14ac:dyDescent="0.25">
      <c r="A96" s="176" t="s">
        <v>168</v>
      </c>
      <c r="B96" s="150"/>
      <c r="G96" s="78" t="s">
        <v>126</v>
      </c>
      <c r="I96" s="78" t="s">
        <v>122</v>
      </c>
      <c r="Q96" s="73"/>
    </row>
    <row r="97" spans="1:17" ht="13.8" hidden="1" x14ac:dyDescent="0.25">
      <c r="A97" s="177" t="s">
        <v>65</v>
      </c>
      <c r="B97" s="150"/>
      <c r="G97" s="178">
        <v>49835.08</v>
      </c>
      <c r="I97" s="77">
        <v>61.72</v>
      </c>
      <c r="Q97" s="73"/>
    </row>
    <row r="98" spans="1:17" ht="13.8" hidden="1" x14ac:dyDescent="0.25">
      <c r="A98" s="177" t="s">
        <v>66</v>
      </c>
      <c r="B98" s="150"/>
      <c r="G98" s="178">
        <v>515.83000000000004</v>
      </c>
      <c r="Q98" s="73"/>
    </row>
    <row r="99" spans="1:17" ht="13.8" hidden="1" x14ac:dyDescent="0.25">
      <c r="A99" s="177" t="s">
        <v>68</v>
      </c>
      <c r="G99" s="178">
        <v>340</v>
      </c>
      <c r="Q99" s="73"/>
    </row>
    <row r="100" spans="1:17" ht="7.2" hidden="1" customHeight="1" x14ac:dyDescent="0.25">
      <c r="A100" s="177" t="s">
        <v>67</v>
      </c>
      <c r="G100" s="179">
        <v>38.71</v>
      </c>
      <c r="Q100" s="73"/>
    </row>
    <row r="101" spans="1:17" ht="12" hidden="1" customHeight="1" x14ac:dyDescent="0.25">
      <c r="A101" s="180"/>
      <c r="G101" s="178">
        <v>50729.62</v>
      </c>
      <c r="Q101" s="73"/>
    </row>
    <row r="102" spans="1:17" x14ac:dyDescent="0.25">
      <c r="A102" s="181"/>
      <c r="B102" s="182"/>
      <c r="C102" s="182"/>
      <c r="D102" s="182"/>
      <c r="E102" s="182"/>
      <c r="F102" s="182"/>
      <c r="G102" s="182"/>
      <c r="H102" s="182"/>
      <c r="I102" s="182"/>
      <c r="J102" s="182"/>
      <c r="K102" s="183"/>
      <c r="L102" s="182"/>
      <c r="M102" s="182"/>
      <c r="N102" s="182"/>
      <c r="O102" s="182"/>
      <c r="P102" s="182"/>
      <c r="Q102" s="74"/>
    </row>
    <row r="108" spans="1:17" x14ac:dyDescent="0.25">
      <c r="G108" s="77">
        <f>+G91/2</f>
        <v>27380.244999999999</v>
      </c>
    </row>
    <row r="116" spans="1:17" x14ac:dyDescent="0.25">
      <c r="C116" s="184"/>
    </row>
    <row r="118" spans="1:17" s="184" customFormat="1" x14ac:dyDescent="0.25">
      <c r="A118" s="77"/>
      <c r="B118" s="77"/>
      <c r="C118" s="77"/>
      <c r="K118" s="185"/>
      <c r="Q118" s="75"/>
    </row>
  </sheetData>
  <mergeCells count="1">
    <mergeCell ref="C1:G1"/>
  </mergeCells>
  <printOptions gridLines="1"/>
  <pageMargins left="0.23622047244094491" right="0.23622047244094491" top="1.1330314960629921" bottom="0.74803149606299213" header="0.31496062992125984" footer="0.31496062992125984"/>
  <pageSetup scale="87" orientation="landscape" r:id="rId1"/>
  <headerFooter alignWithMargins="0">
    <oddHeader>&amp;F</oddHeader>
    <oddFooter>Page &amp;P of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B2C5-6AE8-49C3-9D06-0ED8619BDBFF}">
  <dimension ref="A1:J156"/>
  <sheetViews>
    <sheetView zoomScale="85" zoomScaleNormal="85" workbookViewId="0">
      <pane xSplit="2" ySplit="1" topLeftCell="C140" activePane="bottomRight" state="frozenSplit"/>
      <selection pane="topRight" activeCell="J1" sqref="J1"/>
      <selection pane="bottomLeft" activeCell="A6" sqref="A6"/>
      <selection pane="bottomRight" activeCell="G173" sqref="G173"/>
    </sheetView>
  </sheetViews>
  <sheetFormatPr defaultRowHeight="13.2" x14ac:dyDescent="0.25"/>
  <cols>
    <col min="2" max="2" width="73.5546875" customWidth="1"/>
    <col min="4" max="6" width="8.88671875" style="210"/>
  </cols>
  <sheetData>
    <row r="1" spans="1:10" x14ac:dyDescent="0.25">
      <c r="C1" s="15" t="s">
        <v>264</v>
      </c>
      <c r="D1" s="222" t="s">
        <v>256</v>
      </c>
      <c r="E1" s="222" t="s">
        <v>257</v>
      </c>
      <c r="F1" s="222" t="s">
        <v>258</v>
      </c>
      <c r="G1" s="222" t="s">
        <v>126</v>
      </c>
      <c r="H1" s="222" t="s">
        <v>261</v>
      </c>
    </row>
    <row r="2" spans="1:10" ht="13.8" x14ac:dyDescent="0.25">
      <c r="A2" t="s">
        <v>226</v>
      </c>
      <c r="B2" s="56" t="s">
        <v>176</v>
      </c>
      <c r="C2" s="56"/>
      <c r="D2" s="56"/>
      <c r="E2" s="56"/>
      <c r="F2" s="56"/>
    </row>
    <row r="3" spans="1:10" ht="27.6" x14ac:dyDescent="0.25">
      <c r="B3" s="56"/>
      <c r="C3" s="56"/>
      <c r="D3" s="56" t="s">
        <v>268</v>
      </c>
      <c r="E3" s="56" t="s">
        <v>267</v>
      </c>
      <c r="F3" s="56" t="s">
        <v>269</v>
      </c>
      <c r="G3" s="56"/>
    </row>
    <row r="4" spans="1:10" ht="13.8" x14ac:dyDescent="0.25">
      <c r="A4" t="s">
        <v>217</v>
      </c>
      <c r="B4" s="204" t="s">
        <v>270</v>
      </c>
      <c r="C4" s="241"/>
      <c r="D4" s="233">
        <v>689.8</v>
      </c>
      <c r="E4" s="242">
        <v>952</v>
      </c>
      <c r="F4" s="233">
        <v>716.16</v>
      </c>
      <c r="G4" s="21"/>
      <c r="H4" s="234"/>
    </row>
    <row r="5" spans="1:10" ht="13.8" x14ac:dyDescent="0.25">
      <c r="B5" s="146" t="s">
        <v>295</v>
      </c>
      <c r="C5" s="243"/>
      <c r="E5" s="248"/>
      <c r="H5" s="235"/>
    </row>
    <row r="6" spans="1:10" ht="13.8" x14ac:dyDescent="0.25">
      <c r="B6" s="146" t="s">
        <v>239</v>
      </c>
      <c r="H6" s="235"/>
    </row>
    <row r="7" spans="1:10" ht="13.8" x14ac:dyDescent="0.25">
      <c r="A7" t="s">
        <v>217</v>
      </c>
      <c r="B7" s="236" t="s">
        <v>14</v>
      </c>
      <c r="C7" s="231">
        <v>1389</v>
      </c>
      <c r="D7" s="231">
        <f>SUM(D4:D4)</f>
        <v>689.8</v>
      </c>
      <c r="E7" s="231">
        <f>SUM(E4:E6)</f>
        <v>952</v>
      </c>
      <c r="F7" s="231">
        <f>SUM(F4:F6)</f>
        <v>716.16</v>
      </c>
      <c r="G7" s="231">
        <f>SUM(D7:F7)</f>
        <v>2357.96</v>
      </c>
      <c r="H7" s="237">
        <f>+C7-G7</f>
        <v>-968.96</v>
      </c>
      <c r="J7" s="15" t="s">
        <v>272</v>
      </c>
    </row>
    <row r="8" spans="1:10" ht="13.8" x14ac:dyDescent="0.25">
      <c r="A8" t="s">
        <v>218</v>
      </c>
      <c r="B8" s="146" t="s">
        <v>190</v>
      </c>
      <c r="C8" s="243"/>
      <c r="H8" s="235"/>
    </row>
    <row r="9" spans="1:10" ht="13.8" x14ac:dyDescent="0.25">
      <c r="A9" t="s">
        <v>218</v>
      </c>
      <c r="B9" s="146" t="s">
        <v>190</v>
      </c>
      <c r="H9" s="235"/>
    </row>
    <row r="10" spans="1:10" ht="13.8" x14ac:dyDescent="0.25">
      <c r="A10" t="s">
        <v>218</v>
      </c>
      <c r="B10" s="236" t="s">
        <v>190</v>
      </c>
      <c r="C10" s="231">
        <v>0</v>
      </c>
      <c r="D10" s="231">
        <f t="shared" ref="D10:F10" si="0">SUM(D8:D9)</f>
        <v>0</v>
      </c>
      <c r="E10" s="231">
        <f t="shared" si="0"/>
        <v>0</v>
      </c>
      <c r="F10" s="231">
        <f t="shared" si="0"/>
        <v>0</v>
      </c>
      <c r="G10" s="231">
        <f>SUM(D10:F10)</f>
        <v>0</v>
      </c>
      <c r="H10" s="237">
        <f>+C10-G10</f>
        <v>0</v>
      </c>
    </row>
    <row r="11" spans="1:10" ht="13.8" x14ac:dyDescent="0.25">
      <c r="A11" t="s">
        <v>219</v>
      </c>
      <c r="B11" s="146" t="s">
        <v>141</v>
      </c>
      <c r="C11" s="210"/>
      <c r="D11" s="210">
        <v>510.28</v>
      </c>
      <c r="H11" s="235"/>
    </row>
    <row r="12" spans="1:10" ht="13.8" x14ac:dyDescent="0.25">
      <c r="A12" t="s">
        <v>219</v>
      </c>
      <c r="B12" s="146" t="s">
        <v>141</v>
      </c>
      <c r="C12" s="210"/>
      <c r="H12" s="235"/>
    </row>
    <row r="13" spans="1:10" ht="13.8" x14ac:dyDescent="0.25">
      <c r="A13" t="s">
        <v>219</v>
      </c>
      <c r="B13" s="236" t="s">
        <v>141</v>
      </c>
      <c r="C13" s="231">
        <v>240</v>
      </c>
      <c r="D13" s="231">
        <f t="shared" ref="D13:F13" si="1">SUM(D11:D12)</f>
        <v>510.28</v>
      </c>
      <c r="E13" s="231">
        <f t="shared" si="1"/>
        <v>0</v>
      </c>
      <c r="F13" s="231">
        <f t="shared" si="1"/>
        <v>0</v>
      </c>
      <c r="G13" s="231">
        <f>SUM(D13:F13)</f>
        <v>510.28</v>
      </c>
      <c r="H13" s="237">
        <f>+C13-G13</f>
        <v>-270.27999999999997</v>
      </c>
      <c r="J13" s="15" t="s">
        <v>272</v>
      </c>
    </row>
    <row r="14" spans="1:10" ht="13.8" x14ac:dyDescent="0.25">
      <c r="A14" t="s">
        <v>220</v>
      </c>
      <c r="B14" s="146" t="s">
        <v>1</v>
      </c>
      <c r="C14" s="210"/>
      <c r="D14" s="210">
        <v>39.35</v>
      </c>
      <c r="E14" s="210">
        <f>23.49+3.5</f>
        <v>26.99</v>
      </c>
      <c r="F14" s="210">
        <f>24.72</f>
        <v>24.72</v>
      </c>
      <c r="H14" s="235"/>
    </row>
    <row r="15" spans="1:10" ht="13.8" x14ac:dyDescent="0.25">
      <c r="B15" s="146"/>
      <c r="C15" s="210"/>
      <c r="H15" s="235"/>
    </row>
    <row r="16" spans="1:10" ht="13.8" x14ac:dyDescent="0.25">
      <c r="A16" t="s">
        <v>220</v>
      </c>
      <c r="B16" s="146" t="s">
        <v>266</v>
      </c>
      <c r="C16" s="210"/>
      <c r="E16" s="210">
        <v>258.72000000000003</v>
      </c>
      <c r="H16" s="235"/>
    </row>
    <row r="17" spans="1:10" ht="13.8" x14ac:dyDescent="0.25">
      <c r="A17" t="s">
        <v>220</v>
      </c>
      <c r="B17" s="236" t="s">
        <v>1</v>
      </c>
      <c r="C17" s="231">
        <v>493.72</v>
      </c>
      <c r="D17" s="231">
        <f t="shared" ref="D17:F17" si="2">SUM(D14:D16)</f>
        <v>39.35</v>
      </c>
      <c r="E17" s="231">
        <f t="shared" si="2"/>
        <v>285.71000000000004</v>
      </c>
      <c r="F17" s="231">
        <f t="shared" si="2"/>
        <v>24.72</v>
      </c>
      <c r="G17" s="231">
        <f>SUM(D17:F17)</f>
        <v>349.78000000000009</v>
      </c>
      <c r="H17" s="237">
        <f>+C17-G17</f>
        <v>143.93999999999994</v>
      </c>
    </row>
    <row r="18" spans="1:10" ht="13.8" x14ac:dyDescent="0.25">
      <c r="A18" t="s">
        <v>221</v>
      </c>
      <c r="B18" s="146" t="s">
        <v>157</v>
      </c>
      <c r="C18" s="210"/>
      <c r="H18" s="235"/>
    </row>
    <row r="19" spans="1:10" ht="13.8" x14ac:dyDescent="0.25">
      <c r="A19" t="s">
        <v>221</v>
      </c>
      <c r="B19" s="146" t="s">
        <v>157</v>
      </c>
      <c r="C19" s="210"/>
      <c r="H19" s="235"/>
    </row>
    <row r="20" spans="1:10" ht="13.8" x14ac:dyDescent="0.25">
      <c r="A20" t="s">
        <v>221</v>
      </c>
      <c r="B20" s="236" t="s">
        <v>157</v>
      </c>
      <c r="C20" s="231">
        <v>0</v>
      </c>
      <c r="D20" s="231">
        <f t="shared" ref="D20:F20" si="3">SUM(D18:D19)</f>
        <v>0</v>
      </c>
      <c r="E20" s="231">
        <f t="shared" si="3"/>
        <v>0</v>
      </c>
      <c r="F20" s="231">
        <f t="shared" si="3"/>
        <v>0</v>
      </c>
      <c r="G20" s="231">
        <f>SUM(D20:F20)</f>
        <v>0</v>
      </c>
      <c r="H20" s="237">
        <f>+C20-G20</f>
        <v>0</v>
      </c>
    </row>
    <row r="21" spans="1:10" ht="13.8" x14ac:dyDescent="0.25">
      <c r="A21" t="s">
        <v>222</v>
      </c>
      <c r="B21" s="146" t="s">
        <v>101</v>
      </c>
      <c r="C21" s="210"/>
      <c r="H21" s="235"/>
      <c r="J21" s="15" t="s">
        <v>296</v>
      </c>
    </row>
    <row r="22" spans="1:10" ht="13.8" x14ac:dyDescent="0.25">
      <c r="A22" t="s">
        <v>222</v>
      </c>
      <c r="B22" s="146" t="s">
        <v>101</v>
      </c>
      <c r="C22" s="210"/>
      <c r="H22" s="235"/>
    </row>
    <row r="23" spans="1:10" ht="13.8" x14ac:dyDescent="0.25">
      <c r="A23" t="s">
        <v>222</v>
      </c>
      <c r="B23" s="236" t="s">
        <v>101</v>
      </c>
      <c r="C23" s="231">
        <v>600</v>
      </c>
      <c r="D23" s="231">
        <f t="shared" ref="D23:F23" si="4">SUM(D21:D22)</f>
        <v>0</v>
      </c>
      <c r="E23" s="231">
        <f t="shared" si="4"/>
        <v>0</v>
      </c>
      <c r="F23" s="231">
        <f t="shared" si="4"/>
        <v>0</v>
      </c>
      <c r="G23" s="231">
        <f>SUM(D23:F23)</f>
        <v>0</v>
      </c>
      <c r="H23" s="237">
        <f>+C23-G23</f>
        <v>600</v>
      </c>
    </row>
    <row r="24" spans="1:10" ht="13.8" x14ac:dyDescent="0.25">
      <c r="A24" t="s">
        <v>223</v>
      </c>
      <c r="B24" s="146" t="s">
        <v>259</v>
      </c>
      <c r="C24" s="210"/>
      <c r="H24" s="235"/>
    </row>
    <row r="25" spans="1:10" ht="13.8" x14ac:dyDescent="0.25">
      <c r="A25" t="s">
        <v>223</v>
      </c>
      <c r="B25" s="146" t="s">
        <v>18</v>
      </c>
      <c r="C25" s="210"/>
      <c r="F25" s="210">
        <v>190</v>
      </c>
      <c r="H25" s="235"/>
    </row>
    <row r="26" spans="1:10" ht="13.8" x14ac:dyDescent="0.25">
      <c r="A26" t="s">
        <v>223</v>
      </c>
      <c r="B26" s="236" t="s">
        <v>18</v>
      </c>
      <c r="C26" s="231">
        <v>0</v>
      </c>
      <c r="D26" s="231">
        <f t="shared" ref="D26:F26" si="5">SUM(D24:D25)</f>
        <v>0</v>
      </c>
      <c r="E26" s="231">
        <f t="shared" si="5"/>
        <v>0</v>
      </c>
      <c r="F26" s="231">
        <f t="shared" si="5"/>
        <v>190</v>
      </c>
      <c r="G26" s="231">
        <f>SUM(D26:F26)</f>
        <v>190</v>
      </c>
      <c r="H26" s="237">
        <f>+C26-G26</f>
        <v>-190</v>
      </c>
      <c r="J26" s="15" t="s">
        <v>273</v>
      </c>
    </row>
    <row r="27" spans="1:10" ht="13.8" x14ac:dyDescent="0.25">
      <c r="A27" t="s">
        <v>224</v>
      </c>
      <c r="B27" s="146" t="s">
        <v>136</v>
      </c>
      <c r="C27" s="210"/>
      <c r="H27" s="235"/>
    </row>
    <row r="28" spans="1:10" ht="13.8" x14ac:dyDescent="0.25">
      <c r="A28" t="s">
        <v>224</v>
      </c>
      <c r="B28" s="146" t="s">
        <v>136</v>
      </c>
      <c r="C28" s="210"/>
      <c r="H28" s="235"/>
    </row>
    <row r="29" spans="1:10" ht="13.8" x14ac:dyDescent="0.25">
      <c r="A29" t="s">
        <v>224</v>
      </c>
      <c r="B29" s="236" t="s">
        <v>136</v>
      </c>
      <c r="C29" s="231">
        <v>0</v>
      </c>
      <c r="D29" s="231">
        <f t="shared" ref="D29:F29" si="6">SUM(D27:D28)</f>
        <v>0</v>
      </c>
      <c r="E29" s="231">
        <f t="shared" si="6"/>
        <v>0</v>
      </c>
      <c r="F29" s="231">
        <f t="shared" si="6"/>
        <v>0</v>
      </c>
      <c r="G29" s="231">
        <f>SUM(D29:F29)</f>
        <v>0</v>
      </c>
      <c r="H29" s="237">
        <f>+C29-G29</f>
        <v>0</v>
      </c>
    </row>
    <row r="30" spans="1:10" ht="13.8" x14ac:dyDescent="0.25">
      <c r="A30" t="s">
        <v>225</v>
      </c>
      <c r="B30" s="204" t="s">
        <v>149</v>
      </c>
      <c r="C30" s="233"/>
      <c r="D30" s="233"/>
      <c r="E30" s="233"/>
      <c r="F30" s="233"/>
      <c r="G30" s="21"/>
      <c r="H30" s="234"/>
    </row>
    <row r="31" spans="1:10" ht="13.8" x14ac:dyDescent="0.25">
      <c r="A31" t="s">
        <v>225</v>
      </c>
      <c r="B31" s="146" t="s">
        <v>149</v>
      </c>
      <c r="C31" s="210"/>
      <c r="H31" s="235"/>
    </row>
    <row r="32" spans="1:10" ht="13.8" x14ac:dyDescent="0.25">
      <c r="A32" t="s">
        <v>225</v>
      </c>
      <c r="B32" s="236" t="s">
        <v>149</v>
      </c>
      <c r="C32" s="231">
        <v>0</v>
      </c>
      <c r="D32" s="231">
        <f t="shared" ref="D32:F32" si="7">SUM(D30:D31)</f>
        <v>0</v>
      </c>
      <c r="E32" s="231">
        <f t="shared" si="7"/>
        <v>0</v>
      </c>
      <c r="F32" s="231">
        <f t="shared" si="7"/>
        <v>0</v>
      </c>
      <c r="G32" s="231">
        <f>SUM(D32:F32)</f>
        <v>0</v>
      </c>
      <c r="H32" s="237">
        <f>+C32-G32</f>
        <v>0</v>
      </c>
    </row>
    <row r="33" spans="1:10" ht="13.8" x14ac:dyDescent="0.25">
      <c r="A33" t="s">
        <v>199</v>
      </c>
      <c r="B33" s="146" t="s">
        <v>144</v>
      </c>
      <c r="C33" s="210"/>
      <c r="H33" s="235"/>
    </row>
    <row r="34" spans="1:10" ht="13.8" x14ac:dyDescent="0.25">
      <c r="A34" t="s">
        <v>199</v>
      </c>
      <c r="B34" s="146" t="s">
        <v>144</v>
      </c>
      <c r="C34" s="210"/>
      <c r="H34" s="235"/>
    </row>
    <row r="35" spans="1:10" ht="13.8" x14ac:dyDescent="0.25">
      <c r="A35" t="s">
        <v>199</v>
      </c>
      <c r="B35" s="238" t="s">
        <v>144</v>
      </c>
      <c r="C35" s="211">
        <v>0</v>
      </c>
      <c r="D35" s="211">
        <f t="shared" ref="D35:F35" si="8">SUM(D33:D34)</f>
        <v>0</v>
      </c>
      <c r="E35" s="211">
        <f t="shared" si="8"/>
        <v>0</v>
      </c>
      <c r="F35" s="211">
        <f t="shared" si="8"/>
        <v>0</v>
      </c>
      <c r="G35" s="211">
        <f>SUM(D35:F35)</f>
        <v>0</v>
      </c>
      <c r="H35" s="239">
        <f>+C35-G35</f>
        <v>0</v>
      </c>
    </row>
    <row r="36" spans="1:10" ht="13.8" x14ac:dyDescent="0.25">
      <c r="A36" t="s">
        <v>200</v>
      </c>
      <c r="B36" s="204" t="s">
        <v>12</v>
      </c>
      <c r="C36" s="233"/>
      <c r="D36" s="233"/>
      <c r="E36" s="233"/>
      <c r="F36" s="233"/>
      <c r="G36" s="21"/>
      <c r="H36" s="234"/>
    </row>
    <row r="37" spans="1:10" ht="13.8" x14ac:dyDescent="0.25">
      <c r="A37" t="s">
        <v>200</v>
      </c>
      <c r="B37" s="146" t="s">
        <v>12</v>
      </c>
      <c r="C37" s="210"/>
      <c r="H37" s="235"/>
    </row>
    <row r="38" spans="1:10" ht="13.8" x14ac:dyDescent="0.25">
      <c r="A38" t="s">
        <v>200</v>
      </c>
      <c r="B38" s="236" t="s">
        <v>12</v>
      </c>
      <c r="C38" s="231">
        <v>0</v>
      </c>
      <c r="D38" s="231">
        <f t="shared" ref="D38:F38" si="9">SUM(D36:D37)</f>
        <v>0</v>
      </c>
      <c r="E38" s="231">
        <f t="shared" si="9"/>
        <v>0</v>
      </c>
      <c r="F38" s="231">
        <f t="shared" si="9"/>
        <v>0</v>
      </c>
      <c r="G38" s="231">
        <f>SUM(D38:F38)</f>
        <v>0</v>
      </c>
      <c r="H38" s="237">
        <f>+C38-G38</f>
        <v>0</v>
      </c>
    </row>
    <row r="39" spans="1:10" ht="13.8" x14ac:dyDescent="0.25">
      <c r="A39" t="s">
        <v>201</v>
      </c>
      <c r="B39" s="146" t="s">
        <v>249</v>
      </c>
      <c r="C39" s="210"/>
      <c r="H39" s="235"/>
    </row>
    <row r="40" spans="1:10" ht="13.8" x14ac:dyDescent="0.25">
      <c r="A40" t="s">
        <v>201</v>
      </c>
      <c r="B40" s="146" t="s">
        <v>8</v>
      </c>
      <c r="C40" s="210"/>
      <c r="H40" s="235"/>
    </row>
    <row r="41" spans="1:10" ht="13.8" x14ac:dyDescent="0.25">
      <c r="A41" t="s">
        <v>201</v>
      </c>
      <c r="B41" s="238" t="s">
        <v>8</v>
      </c>
      <c r="C41" s="211">
        <v>0</v>
      </c>
      <c r="D41" s="211">
        <f t="shared" ref="D41:F41" si="10">SUM(D39:D40)</f>
        <v>0</v>
      </c>
      <c r="E41" s="211">
        <f t="shared" si="10"/>
        <v>0</v>
      </c>
      <c r="F41" s="211">
        <f t="shared" si="10"/>
        <v>0</v>
      </c>
      <c r="G41" s="211">
        <f>SUM(D41:F41)</f>
        <v>0</v>
      </c>
      <c r="H41" s="239">
        <f>+C41-G41</f>
        <v>0</v>
      </c>
    </row>
    <row r="42" spans="1:10" ht="13.8" x14ac:dyDescent="0.25">
      <c r="A42" t="s">
        <v>202</v>
      </c>
      <c r="B42" s="204" t="s">
        <v>36</v>
      </c>
      <c r="C42" s="233"/>
      <c r="D42" s="233"/>
      <c r="E42" s="233"/>
      <c r="F42" s="233"/>
      <c r="G42" s="21"/>
      <c r="H42" s="234"/>
    </row>
    <row r="43" spans="1:10" ht="13.8" x14ac:dyDescent="0.25">
      <c r="A43" t="s">
        <v>202</v>
      </c>
      <c r="B43" s="146" t="s">
        <v>36</v>
      </c>
      <c r="C43" s="210"/>
      <c r="H43" s="235"/>
    </row>
    <row r="44" spans="1:10" ht="13.8" x14ac:dyDescent="0.25">
      <c r="A44" t="s">
        <v>202</v>
      </c>
      <c r="B44" s="236" t="s">
        <v>36</v>
      </c>
      <c r="C44" s="231">
        <v>0</v>
      </c>
      <c r="D44" s="231">
        <f t="shared" ref="D44:F44" si="11">SUM(D42:D43)</f>
        <v>0</v>
      </c>
      <c r="E44" s="231">
        <f t="shared" si="11"/>
        <v>0</v>
      </c>
      <c r="F44" s="231">
        <f t="shared" si="11"/>
        <v>0</v>
      </c>
      <c r="G44" s="231">
        <f>SUM(D44:F44)</f>
        <v>0</v>
      </c>
      <c r="H44" s="237">
        <f>+C44-G44</f>
        <v>0</v>
      </c>
    </row>
    <row r="45" spans="1:10" ht="13.8" x14ac:dyDescent="0.25">
      <c r="A45" t="s">
        <v>203</v>
      </c>
      <c r="B45" s="146" t="s">
        <v>237</v>
      </c>
      <c r="C45" s="210"/>
      <c r="D45" s="210">
        <v>625</v>
      </c>
      <c r="E45" s="210">
        <v>625</v>
      </c>
      <c r="F45" s="210">
        <v>625</v>
      </c>
      <c r="H45" s="235"/>
    </row>
    <row r="46" spans="1:10" ht="13.8" x14ac:dyDescent="0.25">
      <c r="A46" t="s">
        <v>203</v>
      </c>
      <c r="B46" s="146" t="s">
        <v>133</v>
      </c>
      <c r="C46" s="210"/>
      <c r="H46" s="235"/>
    </row>
    <row r="47" spans="1:10" ht="13.8" x14ac:dyDescent="0.25">
      <c r="A47" t="s">
        <v>203</v>
      </c>
      <c r="B47" s="238" t="s">
        <v>133</v>
      </c>
      <c r="C47" s="211">
        <v>1250</v>
      </c>
      <c r="D47" s="211">
        <f t="shared" ref="D47:F47" si="12">SUM(D45:D46)</f>
        <v>625</v>
      </c>
      <c r="E47" s="211">
        <f t="shared" si="12"/>
        <v>625</v>
      </c>
      <c r="F47" s="211">
        <f t="shared" si="12"/>
        <v>625</v>
      </c>
      <c r="G47" s="211">
        <f>SUM(D47:F47)</f>
        <v>1875</v>
      </c>
      <c r="H47" s="239">
        <f>+C47-G47</f>
        <v>-625</v>
      </c>
      <c r="J47" s="15" t="s">
        <v>272</v>
      </c>
    </row>
    <row r="48" spans="1:10" ht="13.8" x14ac:dyDescent="0.25">
      <c r="A48" t="s">
        <v>204</v>
      </c>
      <c r="B48" s="204" t="s">
        <v>134</v>
      </c>
      <c r="C48" s="233"/>
      <c r="D48" s="233"/>
      <c r="E48" s="233"/>
      <c r="F48" s="233"/>
      <c r="G48" s="21"/>
      <c r="H48" s="234"/>
    </row>
    <row r="49" spans="1:10" ht="13.8" x14ac:dyDescent="0.25">
      <c r="A49" t="s">
        <v>204</v>
      </c>
      <c r="B49" s="146" t="s">
        <v>134</v>
      </c>
      <c r="C49" s="210"/>
      <c r="H49" s="235"/>
    </row>
    <row r="50" spans="1:10" ht="13.8" x14ac:dyDescent="0.25">
      <c r="A50" t="s">
        <v>204</v>
      </c>
      <c r="B50" s="236" t="s">
        <v>134</v>
      </c>
      <c r="C50" s="231">
        <v>400</v>
      </c>
      <c r="D50" s="231">
        <f t="shared" ref="D50:F50" si="13">SUM(D48:D49)</f>
        <v>0</v>
      </c>
      <c r="E50" s="231">
        <f t="shared" si="13"/>
        <v>0</v>
      </c>
      <c r="F50" s="231">
        <f t="shared" si="13"/>
        <v>0</v>
      </c>
      <c r="G50" s="231">
        <f>SUM(D50:F50)</f>
        <v>0</v>
      </c>
      <c r="H50" s="237">
        <f>+C50-G50</f>
        <v>400</v>
      </c>
      <c r="J50" s="15" t="s">
        <v>274</v>
      </c>
    </row>
    <row r="51" spans="1:10" ht="13.8" x14ac:dyDescent="0.25">
      <c r="A51" t="s">
        <v>205</v>
      </c>
      <c r="B51" s="146" t="s">
        <v>22</v>
      </c>
      <c r="C51" s="210"/>
      <c r="H51" s="235"/>
    </row>
    <row r="52" spans="1:10" ht="13.8" x14ac:dyDescent="0.25">
      <c r="A52" t="s">
        <v>205</v>
      </c>
      <c r="B52" s="146" t="s">
        <v>22</v>
      </c>
      <c r="C52" s="210"/>
      <c r="H52" s="235"/>
    </row>
    <row r="53" spans="1:10" ht="13.8" x14ac:dyDescent="0.25">
      <c r="A53" t="s">
        <v>205</v>
      </c>
      <c r="B53" s="238" t="s">
        <v>22</v>
      </c>
      <c r="C53" s="211">
        <v>1803.42</v>
      </c>
      <c r="D53" s="211">
        <f t="shared" ref="D53" si="14">SUM(D51:D52)</f>
        <v>0</v>
      </c>
      <c r="E53" s="211">
        <f t="shared" ref="E53:F53" si="15">SUM(E51:E52)</f>
        <v>0</v>
      </c>
      <c r="F53" s="211">
        <f t="shared" si="15"/>
        <v>0</v>
      </c>
      <c r="G53" s="211">
        <f>SUM(D53:F53)</f>
        <v>0</v>
      </c>
      <c r="H53" s="239">
        <f>+C53-G53</f>
        <v>1803.42</v>
      </c>
    </row>
    <row r="54" spans="1:10" ht="13.8" x14ac:dyDescent="0.25">
      <c r="A54" t="s">
        <v>206</v>
      </c>
      <c r="B54" s="204" t="s">
        <v>146</v>
      </c>
      <c r="C54" s="233"/>
      <c r="D54" s="233"/>
      <c r="E54" s="233">
        <v>1500</v>
      </c>
      <c r="F54" s="233"/>
      <c r="G54" s="21"/>
      <c r="H54" s="234"/>
    </row>
    <row r="55" spans="1:10" ht="13.8" x14ac:dyDescent="0.25">
      <c r="A55" t="s">
        <v>206</v>
      </c>
      <c r="B55" s="146" t="s">
        <v>146</v>
      </c>
      <c r="C55" s="210"/>
      <c r="H55" s="235"/>
    </row>
    <row r="56" spans="1:10" ht="13.8" x14ac:dyDescent="0.25">
      <c r="A56" t="s">
        <v>206</v>
      </c>
      <c r="B56" s="236" t="s">
        <v>146</v>
      </c>
      <c r="C56" s="231">
        <v>1500</v>
      </c>
      <c r="D56" s="231">
        <f t="shared" ref="D56:F56" si="16">SUM(D54:D55)</f>
        <v>0</v>
      </c>
      <c r="E56" s="231">
        <f t="shared" si="16"/>
        <v>1500</v>
      </c>
      <c r="F56" s="231">
        <f t="shared" si="16"/>
        <v>0</v>
      </c>
      <c r="G56" s="231">
        <f>SUM(D56:F56)</f>
        <v>1500</v>
      </c>
      <c r="H56" s="237">
        <f>+C56-G56</f>
        <v>0</v>
      </c>
      <c r="J56" s="15" t="s">
        <v>275</v>
      </c>
    </row>
    <row r="57" spans="1:10" ht="13.8" x14ac:dyDescent="0.25">
      <c r="A57" t="s">
        <v>207</v>
      </c>
      <c r="B57" s="146" t="s">
        <v>139</v>
      </c>
      <c r="C57" s="210"/>
      <c r="H57" s="235"/>
    </row>
    <row r="58" spans="1:10" ht="13.8" x14ac:dyDescent="0.25">
      <c r="A58" t="s">
        <v>207</v>
      </c>
      <c r="B58" s="146" t="s">
        <v>139</v>
      </c>
      <c r="C58" s="210"/>
      <c r="H58" s="235"/>
    </row>
    <row r="59" spans="1:10" ht="13.8" x14ac:dyDescent="0.25">
      <c r="A59" t="s">
        <v>207</v>
      </c>
      <c r="B59" s="238" t="s">
        <v>139</v>
      </c>
      <c r="C59" s="211">
        <v>0</v>
      </c>
      <c r="D59" s="211">
        <f t="shared" ref="D59:F59" si="17">SUM(D57:D58)</f>
        <v>0</v>
      </c>
      <c r="E59" s="211">
        <f t="shared" si="17"/>
        <v>0</v>
      </c>
      <c r="F59" s="211">
        <f t="shared" si="17"/>
        <v>0</v>
      </c>
      <c r="G59" s="211">
        <f>SUM(D59:F59)</f>
        <v>0</v>
      </c>
      <c r="H59" s="239">
        <f>+C59-G59</f>
        <v>0</v>
      </c>
    </row>
    <row r="60" spans="1:10" ht="13.8" x14ac:dyDescent="0.25">
      <c r="A60" t="s">
        <v>208</v>
      </c>
      <c r="B60" s="204" t="s">
        <v>150</v>
      </c>
      <c r="C60" s="233"/>
      <c r="D60" s="233"/>
      <c r="E60" s="233"/>
      <c r="F60" s="233"/>
      <c r="G60" s="21"/>
      <c r="H60" s="234"/>
    </row>
    <row r="61" spans="1:10" ht="13.8" x14ac:dyDescent="0.25">
      <c r="A61" t="s">
        <v>208</v>
      </c>
      <c r="B61" s="146" t="s">
        <v>150</v>
      </c>
      <c r="C61" s="210"/>
      <c r="H61" s="235"/>
    </row>
    <row r="62" spans="1:10" ht="13.8" x14ac:dyDescent="0.25">
      <c r="A62" t="s">
        <v>208</v>
      </c>
      <c r="B62" s="236" t="s">
        <v>150</v>
      </c>
      <c r="C62" s="231">
        <v>800</v>
      </c>
      <c r="D62" s="231">
        <f t="shared" ref="D62:F62" si="18">SUM(D60:D61)</f>
        <v>0</v>
      </c>
      <c r="E62" s="231">
        <f t="shared" si="18"/>
        <v>0</v>
      </c>
      <c r="F62" s="231">
        <f t="shared" si="18"/>
        <v>0</v>
      </c>
      <c r="G62" s="231">
        <f>SUM(D62:F62)</f>
        <v>0</v>
      </c>
      <c r="H62" s="237">
        <f>+C62-G62</f>
        <v>800</v>
      </c>
      <c r="J62" s="15" t="s">
        <v>276</v>
      </c>
    </row>
    <row r="63" spans="1:10" ht="13.8" x14ac:dyDescent="0.25">
      <c r="A63" t="s">
        <v>209</v>
      </c>
      <c r="B63" s="146" t="s">
        <v>7</v>
      </c>
      <c r="C63" s="210"/>
      <c r="D63" s="210">
        <v>200</v>
      </c>
      <c r="H63" s="235"/>
    </row>
    <row r="64" spans="1:10" ht="13.8" x14ac:dyDescent="0.25">
      <c r="A64" t="s">
        <v>209</v>
      </c>
      <c r="B64" s="146" t="s">
        <v>7</v>
      </c>
      <c r="C64" s="210"/>
      <c r="H64" s="235"/>
    </row>
    <row r="65" spans="1:8" ht="13.8" x14ac:dyDescent="0.25">
      <c r="A65" t="s">
        <v>209</v>
      </c>
      <c r="B65" s="238" t="s">
        <v>7</v>
      </c>
      <c r="C65" s="211">
        <v>200</v>
      </c>
      <c r="D65" s="211">
        <f t="shared" ref="D65:F65" si="19">SUM(D63:D64)</f>
        <v>200</v>
      </c>
      <c r="E65" s="211">
        <f t="shared" si="19"/>
        <v>0</v>
      </c>
      <c r="F65" s="211">
        <f t="shared" si="19"/>
        <v>0</v>
      </c>
      <c r="G65" s="211">
        <f>SUM(D65:F65)</f>
        <v>200</v>
      </c>
      <c r="H65" s="239">
        <f>+C65-G65</f>
        <v>0</v>
      </c>
    </row>
    <row r="66" spans="1:8" ht="13.8" x14ac:dyDescent="0.25">
      <c r="A66" t="s">
        <v>210</v>
      </c>
      <c r="B66" s="204" t="s">
        <v>13</v>
      </c>
      <c r="C66" s="233"/>
      <c r="D66" s="233"/>
      <c r="E66" s="233"/>
      <c r="F66" s="233"/>
      <c r="G66" s="21"/>
      <c r="H66" s="234"/>
    </row>
    <row r="67" spans="1:8" ht="13.8" x14ac:dyDescent="0.25">
      <c r="A67" t="s">
        <v>210</v>
      </c>
      <c r="B67" s="146" t="s">
        <v>13</v>
      </c>
      <c r="C67" s="210"/>
      <c r="H67" s="235"/>
    </row>
    <row r="68" spans="1:8" ht="13.8" x14ac:dyDescent="0.25">
      <c r="A68" t="s">
        <v>210</v>
      </c>
      <c r="B68" s="236" t="s">
        <v>13</v>
      </c>
      <c r="C68" s="231">
        <v>0</v>
      </c>
      <c r="D68" s="231">
        <f t="shared" ref="D68:F68" si="20">SUM(D66:D67)</f>
        <v>0</v>
      </c>
      <c r="E68" s="231">
        <f t="shared" si="20"/>
        <v>0</v>
      </c>
      <c r="F68" s="231">
        <f t="shared" si="20"/>
        <v>0</v>
      </c>
      <c r="G68" s="231">
        <f>SUM(D68:F68)</f>
        <v>0</v>
      </c>
      <c r="H68" s="237">
        <f>+C68-G68</f>
        <v>0</v>
      </c>
    </row>
    <row r="69" spans="1:8" ht="13.8" x14ac:dyDescent="0.25">
      <c r="A69" t="s">
        <v>211</v>
      </c>
      <c r="B69" s="146" t="s">
        <v>15</v>
      </c>
      <c r="C69" s="210"/>
      <c r="H69" s="235"/>
    </row>
    <row r="70" spans="1:8" ht="13.8" x14ac:dyDescent="0.25">
      <c r="A70" t="s">
        <v>211</v>
      </c>
      <c r="B70" s="146" t="s">
        <v>15</v>
      </c>
      <c r="C70" s="210"/>
      <c r="H70" s="235"/>
    </row>
    <row r="71" spans="1:8" ht="13.8" x14ac:dyDescent="0.25">
      <c r="A71" t="s">
        <v>211</v>
      </c>
      <c r="B71" s="238" t="s">
        <v>15</v>
      </c>
      <c r="C71" s="211">
        <v>0</v>
      </c>
      <c r="D71" s="211">
        <f t="shared" ref="D71:F71" si="21">SUM(D69:D70)</f>
        <v>0</v>
      </c>
      <c r="E71" s="211">
        <f t="shared" si="21"/>
        <v>0</v>
      </c>
      <c r="F71" s="211">
        <f t="shared" si="21"/>
        <v>0</v>
      </c>
      <c r="G71" s="211">
        <f>SUM(D71:F71)</f>
        <v>0</v>
      </c>
      <c r="H71" s="239">
        <f>+C71-G71</f>
        <v>0</v>
      </c>
    </row>
    <row r="72" spans="1:8" ht="13.8" x14ac:dyDescent="0.25">
      <c r="A72" t="s">
        <v>212</v>
      </c>
      <c r="B72" s="204" t="s">
        <v>20</v>
      </c>
      <c r="C72" s="233"/>
      <c r="D72" s="233"/>
      <c r="E72" s="233">
        <v>500</v>
      </c>
      <c r="F72" s="233"/>
      <c r="G72" s="21"/>
      <c r="H72" s="234"/>
    </row>
    <row r="73" spans="1:8" ht="13.8" x14ac:dyDescent="0.25">
      <c r="A73" t="s">
        <v>212</v>
      </c>
      <c r="B73" s="146" t="s">
        <v>20</v>
      </c>
      <c r="C73" s="210"/>
      <c r="H73" s="235"/>
    </row>
    <row r="74" spans="1:8" ht="13.8" x14ac:dyDescent="0.25">
      <c r="A74" t="s">
        <v>212</v>
      </c>
      <c r="B74" s="236" t="s">
        <v>20</v>
      </c>
      <c r="C74" s="231">
        <v>500</v>
      </c>
      <c r="D74" s="231">
        <f t="shared" ref="D74:F74" si="22">SUM(D72:D73)</f>
        <v>0</v>
      </c>
      <c r="E74" s="231">
        <f t="shared" si="22"/>
        <v>500</v>
      </c>
      <c r="F74" s="231">
        <f t="shared" si="22"/>
        <v>0</v>
      </c>
      <c r="G74" s="231">
        <f>SUM(D74:F74)</f>
        <v>500</v>
      </c>
      <c r="H74" s="237">
        <f>+C74-G74</f>
        <v>0</v>
      </c>
    </row>
    <row r="75" spans="1:8" ht="13.8" x14ac:dyDescent="0.25">
      <c r="A75" t="s">
        <v>212</v>
      </c>
      <c r="B75" s="146" t="s">
        <v>153</v>
      </c>
      <c r="C75" s="210"/>
      <c r="H75" s="235"/>
    </row>
    <row r="76" spans="1:8" ht="13.8" x14ac:dyDescent="0.25">
      <c r="A76" t="s">
        <v>212</v>
      </c>
      <c r="B76" s="146" t="s">
        <v>153</v>
      </c>
      <c r="C76" s="210"/>
      <c r="H76" s="235"/>
    </row>
    <row r="77" spans="1:8" ht="13.8" x14ac:dyDescent="0.25">
      <c r="A77" t="s">
        <v>212</v>
      </c>
      <c r="B77" s="238" t="s">
        <v>153</v>
      </c>
      <c r="C77" s="211">
        <v>0</v>
      </c>
      <c r="D77" s="211">
        <f t="shared" ref="D77:F77" si="23">SUM(D75:D76)</f>
        <v>0</v>
      </c>
      <c r="E77" s="211">
        <f t="shared" si="23"/>
        <v>0</v>
      </c>
      <c r="F77" s="211">
        <f t="shared" si="23"/>
        <v>0</v>
      </c>
      <c r="G77" s="211">
        <f>SUM(D77:F77)</f>
        <v>0</v>
      </c>
      <c r="H77" s="239">
        <f>+C77-G77</f>
        <v>0</v>
      </c>
    </row>
    <row r="78" spans="1:8" ht="13.8" x14ac:dyDescent="0.25">
      <c r="A78" t="s">
        <v>213</v>
      </c>
      <c r="B78" s="204" t="s">
        <v>154</v>
      </c>
      <c r="C78" s="233"/>
      <c r="D78" s="233"/>
      <c r="E78" s="233">
        <v>250</v>
      </c>
      <c r="F78" s="233"/>
      <c r="G78" s="21"/>
      <c r="H78" s="234"/>
    </row>
    <row r="79" spans="1:8" ht="13.8" x14ac:dyDescent="0.25">
      <c r="A79" t="s">
        <v>213</v>
      </c>
      <c r="B79" s="146" t="s">
        <v>154</v>
      </c>
      <c r="C79" s="210"/>
      <c r="H79" s="235"/>
    </row>
    <row r="80" spans="1:8" ht="13.8" x14ac:dyDescent="0.25">
      <c r="A80" t="s">
        <v>213</v>
      </c>
      <c r="B80" s="236" t="s">
        <v>154</v>
      </c>
      <c r="C80" s="231">
        <v>250</v>
      </c>
      <c r="D80" s="231">
        <f t="shared" ref="D80:F80" si="24">SUM(D78:D79)</f>
        <v>0</v>
      </c>
      <c r="E80" s="231">
        <f t="shared" si="24"/>
        <v>250</v>
      </c>
      <c r="F80" s="231">
        <f t="shared" si="24"/>
        <v>0</v>
      </c>
      <c r="G80" s="231">
        <f>SUM(D80:F80)</f>
        <v>250</v>
      </c>
      <c r="H80" s="237">
        <f>+C80-G80</f>
        <v>0</v>
      </c>
    </row>
    <row r="81" spans="1:8" ht="13.8" x14ac:dyDescent="0.25">
      <c r="A81" t="s">
        <v>213</v>
      </c>
      <c r="B81" s="146" t="s">
        <v>155</v>
      </c>
      <c r="C81" s="210"/>
      <c r="H81" s="235"/>
    </row>
    <row r="82" spans="1:8" ht="13.8" x14ac:dyDescent="0.25">
      <c r="A82" t="s">
        <v>213</v>
      </c>
      <c r="B82" s="146" t="s">
        <v>155</v>
      </c>
      <c r="C82" s="210"/>
      <c r="H82" s="235"/>
    </row>
    <row r="83" spans="1:8" ht="13.8" x14ac:dyDescent="0.25">
      <c r="A83" t="s">
        <v>213</v>
      </c>
      <c r="B83" s="238" t="s">
        <v>155</v>
      </c>
      <c r="C83" s="211">
        <v>0</v>
      </c>
      <c r="D83" s="211">
        <f t="shared" ref="D83:F83" si="25">SUM(D81:D82)</f>
        <v>0</v>
      </c>
      <c r="E83" s="211">
        <f t="shared" si="25"/>
        <v>0</v>
      </c>
      <c r="F83" s="211">
        <f t="shared" si="25"/>
        <v>0</v>
      </c>
      <c r="G83" s="211">
        <f>SUM(D83:F83)</f>
        <v>0</v>
      </c>
      <c r="H83" s="239">
        <f>+C83-G83</f>
        <v>0</v>
      </c>
    </row>
    <row r="84" spans="1:8" ht="13.8" x14ac:dyDescent="0.25">
      <c r="A84" t="s">
        <v>214</v>
      </c>
      <c r="B84" s="204" t="s">
        <v>17</v>
      </c>
      <c r="C84" s="233"/>
      <c r="D84" s="233"/>
      <c r="E84" s="233"/>
      <c r="F84" s="233"/>
      <c r="G84" s="21"/>
      <c r="H84" s="234"/>
    </row>
    <row r="85" spans="1:8" ht="13.8" x14ac:dyDescent="0.25">
      <c r="A85" t="s">
        <v>214</v>
      </c>
      <c r="B85" s="146" t="s">
        <v>17</v>
      </c>
      <c r="C85" s="210"/>
      <c r="H85" s="235"/>
    </row>
    <row r="86" spans="1:8" ht="13.8" x14ac:dyDescent="0.25">
      <c r="A86" t="s">
        <v>214</v>
      </c>
      <c r="B86" s="236" t="s">
        <v>17</v>
      </c>
      <c r="C86" s="231">
        <v>0</v>
      </c>
      <c r="D86" s="231">
        <f t="shared" ref="D86:F86" si="26">SUM(D84:D85)</f>
        <v>0</v>
      </c>
      <c r="E86" s="231">
        <f t="shared" si="26"/>
        <v>0</v>
      </c>
      <c r="F86" s="231">
        <f t="shared" si="26"/>
        <v>0</v>
      </c>
      <c r="G86" s="231">
        <f>SUM(D86:F86)</f>
        <v>0</v>
      </c>
      <c r="H86" s="237">
        <f>+C86-G86</f>
        <v>0</v>
      </c>
    </row>
    <row r="87" spans="1:8" ht="13.8" x14ac:dyDescent="0.25">
      <c r="A87" t="s">
        <v>214</v>
      </c>
      <c r="B87" s="146" t="s">
        <v>265</v>
      </c>
      <c r="C87" s="210"/>
      <c r="H87" s="235"/>
    </row>
    <row r="88" spans="1:8" ht="13.8" x14ac:dyDescent="0.25">
      <c r="A88" t="s">
        <v>214</v>
      </c>
      <c r="B88" s="146" t="s">
        <v>248</v>
      </c>
      <c r="C88" s="210"/>
      <c r="H88" s="235"/>
    </row>
    <row r="89" spans="1:8" ht="13.8" x14ac:dyDescent="0.25">
      <c r="A89" t="s">
        <v>214</v>
      </c>
      <c r="B89" s="146" t="s">
        <v>129</v>
      </c>
      <c r="C89" s="210"/>
      <c r="H89" s="235"/>
    </row>
    <row r="90" spans="1:8" ht="13.8" x14ac:dyDescent="0.25">
      <c r="A90" t="s">
        <v>214</v>
      </c>
      <c r="B90" s="238" t="s">
        <v>129</v>
      </c>
      <c r="C90" s="211">
        <v>500</v>
      </c>
      <c r="D90" s="211">
        <f>SUM(D87:D89)</f>
        <v>0</v>
      </c>
      <c r="E90" s="211">
        <f>SUM(E87:E89)</f>
        <v>0</v>
      </c>
      <c r="F90" s="211">
        <f>SUM(F87:F89)</f>
        <v>0</v>
      </c>
      <c r="G90" s="211">
        <f>SUM(D90:F90)</f>
        <v>0</v>
      </c>
      <c r="H90" s="239">
        <f>+C90-G90</f>
        <v>500</v>
      </c>
    </row>
    <row r="91" spans="1:8" ht="13.8" x14ac:dyDescent="0.25">
      <c r="A91" t="s">
        <v>215</v>
      </c>
      <c r="B91" s="204" t="s">
        <v>260</v>
      </c>
      <c r="C91" s="233"/>
      <c r="D91" s="233">
        <v>302.39999999999998</v>
      </c>
      <c r="E91" s="233"/>
      <c r="F91" s="233"/>
      <c r="G91" s="21"/>
      <c r="H91" s="234"/>
    </row>
    <row r="92" spans="1:8" ht="13.8" x14ac:dyDescent="0.25">
      <c r="A92" t="s">
        <v>215</v>
      </c>
      <c r="B92" s="146" t="s">
        <v>260</v>
      </c>
      <c r="C92" s="210"/>
      <c r="H92" s="235"/>
    </row>
    <row r="93" spans="1:8" ht="13.8" x14ac:dyDescent="0.25">
      <c r="A93" t="s">
        <v>215</v>
      </c>
      <c r="B93" s="238" t="s">
        <v>260</v>
      </c>
      <c r="C93" s="211">
        <v>0</v>
      </c>
      <c r="D93" s="211">
        <f t="shared" ref="D93:F93" si="27">SUM(D91:D92)</f>
        <v>302.39999999999998</v>
      </c>
      <c r="E93" s="211">
        <f t="shared" si="27"/>
        <v>0</v>
      </c>
      <c r="F93" s="211">
        <f t="shared" si="27"/>
        <v>0</v>
      </c>
      <c r="G93" s="211">
        <f>SUM(D93:F93)</f>
        <v>302.39999999999998</v>
      </c>
      <c r="H93" s="239">
        <f>+C93-G93</f>
        <v>-302.39999999999998</v>
      </c>
    </row>
    <row r="94" spans="1:8" ht="13.8" x14ac:dyDescent="0.25">
      <c r="A94" t="s">
        <v>215</v>
      </c>
      <c r="B94" s="148" t="s">
        <v>23</v>
      </c>
      <c r="C94" s="232"/>
      <c r="D94" s="232">
        <f>17.7+18.23</f>
        <v>35.93</v>
      </c>
      <c r="E94" s="232">
        <v>18.23</v>
      </c>
      <c r="F94" s="232">
        <v>16.46</v>
      </c>
      <c r="G94" s="29"/>
      <c r="H94" s="240"/>
    </row>
    <row r="95" spans="1:8" ht="13.8" x14ac:dyDescent="0.25">
      <c r="A95" t="s">
        <v>215</v>
      </c>
      <c r="B95" s="146" t="s">
        <v>23</v>
      </c>
      <c r="C95" s="210"/>
      <c r="H95" s="235"/>
    </row>
    <row r="96" spans="1:8" ht="13.8" x14ac:dyDescent="0.25">
      <c r="A96" t="s">
        <v>215</v>
      </c>
      <c r="B96" s="238" t="s">
        <v>23</v>
      </c>
      <c r="C96" s="211">
        <v>45</v>
      </c>
      <c r="D96" s="211">
        <f t="shared" ref="D96:F96" si="28">SUM(D94:D95)</f>
        <v>35.93</v>
      </c>
      <c r="E96" s="211">
        <f t="shared" si="28"/>
        <v>18.23</v>
      </c>
      <c r="F96" s="211">
        <f t="shared" si="28"/>
        <v>16.46</v>
      </c>
      <c r="G96" s="211">
        <f>SUM(D96:F96)</f>
        <v>70.62</v>
      </c>
      <c r="H96" s="239">
        <f>+C96-G96</f>
        <v>-25.620000000000005</v>
      </c>
    </row>
    <row r="97" spans="1:8" ht="13.8" x14ac:dyDescent="0.25">
      <c r="A97" t="s">
        <v>216</v>
      </c>
      <c r="B97" s="146" t="s">
        <v>21</v>
      </c>
      <c r="C97" s="210"/>
      <c r="H97" s="235"/>
    </row>
    <row r="98" spans="1:8" ht="13.8" x14ac:dyDescent="0.25">
      <c r="A98" t="s">
        <v>216</v>
      </c>
      <c r="B98" s="146" t="s">
        <v>21</v>
      </c>
      <c r="C98" s="210"/>
      <c r="H98" s="235"/>
    </row>
    <row r="99" spans="1:8" ht="13.8" x14ac:dyDescent="0.25">
      <c r="A99" t="s">
        <v>216</v>
      </c>
      <c r="B99" s="238" t="s">
        <v>21</v>
      </c>
      <c r="C99" s="211">
        <v>0</v>
      </c>
      <c r="D99" s="211">
        <f t="shared" ref="D99:F99" si="29">SUM(D97:D98)</f>
        <v>0</v>
      </c>
      <c r="E99" s="211">
        <f t="shared" si="29"/>
        <v>0</v>
      </c>
      <c r="F99" s="211">
        <f t="shared" si="29"/>
        <v>0</v>
      </c>
      <c r="G99" s="211">
        <f>SUM(D99:F99)</f>
        <v>0</v>
      </c>
      <c r="H99" s="239">
        <f>+C99-G99</f>
        <v>0</v>
      </c>
    </row>
    <row r="100" spans="1:8" ht="13.8" x14ac:dyDescent="0.25">
      <c r="A100" t="s">
        <v>216</v>
      </c>
      <c r="B100" s="204" t="s">
        <v>26</v>
      </c>
      <c r="C100" s="233"/>
      <c r="D100" s="233"/>
      <c r="E100" s="233">
        <v>240</v>
      </c>
      <c r="F100" s="233"/>
      <c r="G100" s="21"/>
      <c r="H100" s="234"/>
    </row>
    <row r="101" spans="1:8" ht="13.8" x14ac:dyDescent="0.25">
      <c r="A101" t="s">
        <v>216</v>
      </c>
      <c r="B101" s="146" t="s">
        <v>26</v>
      </c>
      <c r="C101" s="210"/>
      <c r="H101" s="235"/>
    </row>
    <row r="102" spans="1:8" ht="13.8" x14ac:dyDescent="0.25">
      <c r="A102" t="s">
        <v>216</v>
      </c>
      <c r="B102" s="236" t="s">
        <v>26</v>
      </c>
      <c r="C102" s="231">
        <v>200</v>
      </c>
      <c r="D102" s="231">
        <f t="shared" ref="D102:F102" si="30">SUM(D100:D101)</f>
        <v>0</v>
      </c>
      <c r="E102" s="231">
        <f t="shared" si="30"/>
        <v>240</v>
      </c>
      <c r="F102" s="231">
        <f t="shared" si="30"/>
        <v>0</v>
      </c>
      <c r="G102" s="231">
        <f>SUM(D102:F102)</f>
        <v>240</v>
      </c>
      <c r="H102" s="237">
        <f>+C102-G102</f>
        <v>-40</v>
      </c>
    </row>
    <row r="103" spans="1:8" x14ac:dyDescent="0.25">
      <c r="A103" t="s">
        <v>126</v>
      </c>
      <c r="B103" s="244" t="s">
        <v>242</v>
      </c>
      <c r="C103" s="221">
        <f>+C102+C99+C96+C93+C90+C86+C83+C80+C77+C74+C71+C68+C65+C62+C59+C56+C53+C50+C47+C44+C41+C38+C35+C32+C29+C26+C23+C20+C17+C13+C10+C7</f>
        <v>10171.14</v>
      </c>
      <c r="D103" s="221">
        <f>+D102+D99+D96+D93+D90+D86+D83+D80+D77+D74+D71+D68+D65+D62+D59+D56+D53+D50+D47+D44+D41+D38+D35+D32+D29+D26+D23+D20+D17+D13+D10+D7</f>
        <v>2402.7599999999998</v>
      </c>
      <c r="E103" s="221">
        <f>+E102+E99+E96+E93+E90+E86+E83+E80+E77+E74+E71+E68+E65+E62+E59+E56+E53+E50+E47+E44+E41+E38+E35+E32+E29+E26+E23+E20+E17+E13+E10+E7</f>
        <v>4370.9400000000005</v>
      </c>
      <c r="F103" s="221">
        <f>+F102+F99+F96+F93+F90+F86+F83+F80+F77+F74+F71+F68+F65+F62+F59+F56+F53+F50+F47+F44+F41+F38+F35+F32+F29+F26+F23+F20+F17+F13+F10+F7</f>
        <v>1572.3400000000001</v>
      </c>
      <c r="G103" s="231">
        <f>SUM(D103:F103)</f>
        <v>8346.0400000000009</v>
      </c>
      <c r="H103" s="237">
        <f>+C103-G103</f>
        <v>1825.0999999999985</v>
      </c>
    </row>
    <row r="104" spans="1:8" x14ac:dyDescent="0.25">
      <c r="C104" s="210"/>
    </row>
    <row r="105" spans="1:8" s="77" customFormat="1" ht="13.8" x14ac:dyDescent="0.25">
      <c r="A105" s="113" t="s">
        <v>175</v>
      </c>
      <c r="B105" s="114"/>
      <c r="C105" s="212"/>
      <c r="D105" s="212"/>
      <c r="E105" s="212"/>
      <c r="F105" s="212"/>
    </row>
    <row r="106" spans="1:8" s="78" customFormat="1" ht="13.8" x14ac:dyDescent="0.25">
      <c r="A106" s="78" t="s">
        <v>227</v>
      </c>
      <c r="B106" s="121"/>
      <c r="C106" s="213"/>
      <c r="D106" s="213"/>
      <c r="E106" s="213"/>
      <c r="F106" s="213"/>
    </row>
    <row r="107" spans="1:8" s="78" customFormat="1" ht="13.8" x14ac:dyDescent="0.25">
      <c r="A107" s="78" t="s">
        <v>227</v>
      </c>
      <c r="B107" s="121"/>
      <c r="C107" s="213"/>
      <c r="D107" s="213"/>
      <c r="E107" s="213"/>
      <c r="F107" s="213"/>
    </row>
    <row r="108" spans="1:8" s="78" customFormat="1" ht="13.8" x14ac:dyDescent="0.25">
      <c r="A108" s="78" t="s">
        <v>227</v>
      </c>
      <c r="B108" s="121"/>
      <c r="C108" s="213"/>
      <c r="D108" s="213"/>
      <c r="E108" s="213"/>
      <c r="F108" s="213"/>
    </row>
    <row r="109" spans="1:8" s="78" customFormat="1" ht="13.8" x14ac:dyDescent="0.25">
      <c r="A109" s="78" t="s">
        <v>228</v>
      </c>
      <c r="B109" s="202"/>
      <c r="C109" s="213"/>
      <c r="D109" s="213"/>
      <c r="E109" s="213"/>
      <c r="F109" s="213"/>
    </row>
    <row r="110" spans="1:8" s="78" customFormat="1" ht="13.8" x14ac:dyDescent="0.25">
      <c r="A110" s="78" t="s">
        <v>228</v>
      </c>
      <c r="B110" s="201"/>
      <c r="C110" s="214"/>
      <c r="D110" s="214"/>
      <c r="E110" s="214"/>
      <c r="F110" s="214"/>
    </row>
    <row r="111" spans="1:8" s="78" customFormat="1" ht="13.8" x14ac:dyDescent="0.25">
      <c r="A111" s="113" t="s">
        <v>126</v>
      </c>
      <c r="B111" s="189"/>
      <c r="C111" s="215">
        <f t="shared" ref="C111" si="31">SUM(C106:C110)</f>
        <v>0</v>
      </c>
      <c r="D111" s="215">
        <f t="shared" ref="D111:F111" si="32">SUM(D106:D110)</f>
        <v>0</v>
      </c>
      <c r="E111" s="215">
        <f t="shared" si="32"/>
        <v>0</v>
      </c>
      <c r="F111" s="215">
        <f t="shared" si="32"/>
        <v>0</v>
      </c>
      <c r="G111" s="211">
        <f>SUM(D111:F111)</f>
        <v>0</v>
      </c>
      <c r="H111" s="210">
        <f>+C111-G111</f>
        <v>0</v>
      </c>
    </row>
    <row r="112" spans="1:8" x14ac:dyDescent="0.25">
      <c r="C112" s="210"/>
    </row>
    <row r="113" spans="1:8" ht="13.8" x14ac:dyDescent="0.25">
      <c r="A113" s="113" t="s">
        <v>194</v>
      </c>
      <c r="B113" s="203"/>
      <c r="C113" s="212"/>
      <c r="D113" s="212"/>
      <c r="E113" s="212"/>
      <c r="F113" s="212"/>
    </row>
    <row r="114" spans="1:8" ht="13.8" x14ac:dyDescent="0.25">
      <c r="A114" t="s">
        <v>229</v>
      </c>
      <c r="B114" s="202" t="s">
        <v>240</v>
      </c>
      <c r="C114" s="216"/>
      <c r="D114" s="216"/>
      <c r="E114" s="216"/>
      <c r="F114" s="216"/>
    </row>
    <row r="115" spans="1:8" ht="13.8" x14ac:dyDescent="0.25">
      <c r="A115" t="s">
        <v>230</v>
      </c>
      <c r="B115" s="202" t="s">
        <v>241</v>
      </c>
      <c r="C115" s="216"/>
      <c r="D115" s="216"/>
      <c r="E115" s="216"/>
      <c r="F115" s="216"/>
    </row>
    <row r="116" spans="1:8" ht="13.8" x14ac:dyDescent="0.25">
      <c r="A116" t="s">
        <v>231</v>
      </c>
      <c r="B116" s="202" t="s">
        <v>93</v>
      </c>
      <c r="C116" s="217"/>
      <c r="D116" s="217"/>
      <c r="E116" s="217"/>
      <c r="F116" s="217"/>
    </row>
    <row r="117" spans="1:8" ht="13.8" x14ac:dyDescent="0.25">
      <c r="A117" s="113" t="s">
        <v>126</v>
      </c>
      <c r="B117" s="196"/>
      <c r="C117" s="212">
        <f t="shared" ref="C117" si="33">SUM(C114:C116)</f>
        <v>0</v>
      </c>
      <c r="D117" s="212">
        <f t="shared" ref="D117:F117" si="34">SUM(D114:D116)</f>
        <v>0</v>
      </c>
      <c r="E117" s="212">
        <f t="shared" si="34"/>
        <v>0</v>
      </c>
      <c r="F117" s="212">
        <f t="shared" si="34"/>
        <v>0</v>
      </c>
      <c r="G117" s="211">
        <f>SUM(D117:F117)</f>
        <v>0</v>
      </c>
      <c r="H117" s="210">
        <f>+C117-G117</f>
        <v>0</v>
      </c>
    </row>
    <row r="118" spans="1:8" x14ac:dyDescent="0.25">
      <c r="C118" s="210"/>
    </row>
    <row r="119" spans="1:8" ht="13.8" x14ac:dyDescent="0.25">
      <c r="A119" s="113" t="s">
        <v>174</v>
      </c>
      <c r="B119" s="114"/>
      <c r="C119" s="212"/>
      <c r="D119" s="212"/>
      <c r="E119" s="212"/>
      <c r="F119" s="212"/>
    </row>
    <row r="120" spans="1:8" ht="13.8" x14ac:dyDescent="0.25">
      <c r="A120" t="s">
        <v>232</v>
      </c>
      <c r="B120" s="204" t="s">
        <v>238</v>
      </c>
      <c r="C120" s="218"/>
      <c r="D120" s="218"/>
      <c r="E120" s="218"/>
      <c r="F120" s="218"/>
    </row>
    <row r="121" spans="1:8" ht="13.8" x14ac:dyDescent="0.25">
      <c r="A121" s="205" t="s">
        <v>232</v>
      </c>
      <c r="B121" s="146" t="s">
        <v>263</v>
      </c>
      <c r="C121" s="216"/>
      <c r="D121" s="216"/>
      <c r="E121" s="216"/>
      <c r="F121" s="216"/>
    </row>
    <row r="122" spans="1:8" ht="13.8" x14ac:dyDescent="0.25">
      <c r="A122" s="205"/>
      <c r="B122" s="146"/>
      <c r="C122" s="216"/>
      <c r="D122" s="216"/>
      <c r="E122" s="216"/>
      <c r="F122" s="216"/>
    </row>
    <row r="123" spans="1:8" ht="13.8" x14ac:dyDescent="0.25">
      <c r="A123" t="s">
        <v>232</v>
      </c>
      <c r="B123" s="137"/>
      <c r="C123" s="217"/>
      <c r="D123" s="217"/>
      <c r="E123" s="217"/>
      <c r="F123" s="217"/>
    </row>
    <row r="124" spans="1:8" ht="13.8" x14ac:dyDescent="0.25">
      <c r="A124" s="113" t="s">
        <v>126</v>
      </c>
      <c r="B124" s="114"/>
      <c r="C124" s="219">
        <f>SUM(C120:C123)</f>
        <v>0</v>
      </c>
      <c r="D124" s="219">
        <f>SUM(D120:D123)</f>
        <v>0</v>
      </c>
      <c r="E124" s="219">
        <f t="shared" ref="E124:F124" si="35">SUM(E120:E123)</f>
        <v>0</v>
      </c>
      <c r="F124" s="219">
        <f t="shared" si="35"/>
        <v>0</v>
      </c>
      <c r="G124" s="211">
        <f>SUM(D124:F124)</f>
        <v>0</v>
      </c>
      <c r="H124" s="210">
        <f>+C124-G124</f>
        <v>0</v>
      </c>
    </row>
    <row r="125" spans="1:8" x14ac:dyDescent="0.25">
      <c r="C125" s="210"/>
    </row>
    <row r="126" spans="1:8" ht="13.8" x14ac:dyDescent="0.25">
      <c r="A126" s="113" t="s">
        <v>197</v>
      </c>
      <c r="B126" s="114"/>
      <c r="C126" s="212"/>
      <c r="D126" s="212"/>
      <c r="E126" s="212"/>
      <c r="F126" s="212"/>
    </row>
    <row r="127" spans="1:8" ht="13.8" x14ac:dyDescent="0.25">
      <c r="A127" s="146" t="s">
        <v>233</v>
      </c>
      <c r="B127" s="202"/>
      <c r="C127" s="216"/>
      <c r="D127" s="216"/>
      <c r="E127" s="216"/>
      <c r="F127" s="216"/>
    </row>
    <row r="128" spans="1:8" ht="13.8" x14ac:dyDescent="0.25">
      <c r="A128" s="146" t="s">
        <v>233</v>
      </c>
      <c r="B128" s="84"/>
      <c r="C128" s="216"/>
      <c r="D128" s="216"/>
      <c r="E128" s="216"/>
      <c r="F128" s="216"/>
    </row>
    <row r="129" spans="1:8" ht="13.8" x14ac:dyDescent="0.25">
      <c r="A129" s="146" t="s">
        <v>233</v>
      </c>
      <c r="B129" s="68"/>
      <c r="C129" s="217"/>
      <c r="D129" s="217"/>
      <c r="E129" s="217"/>
      <c r="F129" s="217"/>
    </row>
    <row r="130" spans="1:8" ht="13.8" x14ac:dyDescent="0.25">
      <c r="A130" s="113" t="s">
        <v>126</v>
      </c>
      <c r="B130" s="114"/>
      <c r="C130" s="223">
        <f>SUM(C127:C129)</f>
        <v>0</v>
      </c>
      <c r="D130" s="223">
        <f>SUM(D127:D129)</f>
        <v>0</v>
      </c>
      <c r="E130" s="223">
        <f t="shared" ref="E130:F130" si="36">SUM(E127:E129)</f>
        <v>0</v>
      </c>
      <c r="F130" s="223">
        <f t="shared" si="36"/>
        <v>0</v>
      </c>
      <c r="G130" s="211">
        <f>SUM(D130:F130)</f>
        <v>0</v>
      </c>
      <c r="H130" s="210">
        <f>+C130-G130</f>
        <v>0</v>
      </c>
    </row>
    <row r="131" spans="1:8" x14ac:dyDescent="0.25">
      <c r="C131" s="210"/>
    </row>
    <row r="132" spans="1:8" ht="13.8" x14ac:dyDescent="0.25">
      <c r="A132" s="206" t="s">
        <v>193</v>
      </c>
      <c r="B132" s="203"/>
      <c r="C132" s="220"/>
      <c r="D132" s="220"/>
      <c r="E132" s="220"/>
      <c r="F132" s="220"/>
    </row>
    <row r="133" spans="1:8" ht="13.8" x14ac:dyDescent="0.25">
      <c r="A133" s="209"/>
      <c r="B133" s="147"/>
      <c r="C133" s="216"/>
      <c r="D133" s="216"/>
      <c r="E133" s="216"/>
      <c r="F133" s="216"/>
    </row>
    <row r="134" spans="1:8" ht="13.8" x14ac:dyDescent="0.25">
      <c r="A134" s="209"/>
      <c r="B134" s="147"/>
      <c r="C134" s="216"/>
      <c r="D134" s="216"/>
      <c r="E134" s="216"/>
      <c r="F134" s="216"/>
    </row>
    <row r="135" spans="1:8" ht="13.8" x14ac:dyDescent="0.25">
      <c r="A135" s="209"/>
      <c r="B135" s="147"/>
      <c r="C135" s="216"/>
      <c r="D135" s="216"/>
      <c r="E135" s="216"/>
      <c r="F135" s="216"/>
    </row>
    <row r="136" spans="1:8" ht="13.8" x14ac:dyDescent="0.25">
      <c r="A136" s="207"/>
      <c r="B136" s="208"/>
      <c r="C136" s="221">
        <f t="shared" ref="C136" si="37">SUM(C133:C135)</f>
        <v>0</v>
      </c>
      <c r="D136" s="221">
        <f t="shared" ref="D136:E136" si="38">SUM(D133:D135)</f>
        <v>0</v>
      </c>
      <c r="E136" s="221">
        <f t="shared" si="38"/>
        <v>0</v>
      </c>
      <c r="F136" s="221">
        <f>SUM(F133:F135)</f>
        <v>0</v>
      </c>
      <c r="G136" s="211">
        <f>SUM(D136:F136)</f>
        <v>0</v>
      </c>
      <c r="H136" s="210">
        <f>+C136-G136</f>
        <v>0</v>
      </c>
    </row>
    <row r="137" spans="1:8" x14ac:dyDescent="0.25">
      <c r="C137" s="210"/>
    </row>
    <row r="138" spans="1:8" ht="13.8" x14ac:dyDescent="0.25">
      <c r="A138" s="206" t="s">
        <v>245</v>
      </c>
      <c r="B138" s="203"/>
      <c r="C138" s="220"/>
      <c r="D138" s="220"/>
      <c r="E138" s="220"/>
      <c r="F138" s="220"/>
    </row>
    <row r="139" spans="1:8" ht="13.8" x14ac:dyDescent="0.25">
      <c r="A139" s="209"/>
      <c r="B139" s="147"/>
      <c r="C139" s="216"/>
      <c r="D139" s="216"/>
      <c r="E139" s="216"/>
      <c r="F139" s="216"/>
    </row>
    <row r="140" spans="1:8" ht="13.8" x14ac:dyDescent="0.25">
      <c r="A140" s="202"/>
      <c r="B140" s="147"/>
      <c r="C140" s="216"/>
      <c r="D140" s="216"/>
      <c r="E140" s="216"/>
      <c r="F140" s="216"/>
    </row>
    <row r="141" spans="1:8" ht="13.8" x14ac:dyDescent="0.25">
      <c r="A141" s="202"/>
      <c r="B141" s="147"/>
      <c r="C141" s="216"/>
      <c r="D141" s="216"/>
      <c r="E141" s="216"/>
      <c r="F141" s="216"/>
    </row>
    <row r="142" spans="1:8" ht="13.8" x14ac:dyDescent="0.25">
      <c r="A142" s="202"/>
      <c r="B142" s="147"/>
      <c r="C142" s="216"/>
      <c r="D142" s="216"/>
      <c r="E142" s="216"/>
      <c r="F142" s="216"/>
    </row>
    <row r="143" spans="1:8" ht="13.8" x14ac:dyDescent="0.25">
      <c r="A143" s="202"/>
      <c r="B143" s="147"/>
      <c r="C143" s="216"/>
      <c r="D143" s="216"/>
      <c r="E143" s="216"/>
      <c r="F143" s="216"/>
    </row>
    <row r="144" spans="1:8" ht="13.8" x14ac:dyDescent="0.25">
      <c r="A144" s="202"/>
      <c r="B144" s="147"/>
      <c r="C144" s="216"/>
      <c r="D144" s="216"/>
      <c r="E144" s="216"/>
      <c r="F144" s="216"/>
    </row>
    <row r="145" spans="1:8" ht="13.8" x14ac:dyDescent="0.25">
      <c r="A145" s="202"/>
      <c r="B145" s="147"/>
      <c r="C145" s="216"/>
      <c r="D145" s="216"/>
      <c r="E145" s="216"/>
      <c r="F145" s="216"/>
    </row>
    <row r="146" spans="1:8" ht="13.8" x14ac:dyDescent="0.25">
      <c r="A146" s="209"/>
      <c r="B146" s="147"/>
      <c r="C146" s="216"/>
      <c r="D146" s="216"/>
      <c r="E146" s="216"/>
      <c r="F146" s="216"/>
    </row>
    <row r="147" spans="1:8" ht="13.8" x14ac:dyDescent="0.25">
      <c r="A147" s="207"/>
      <c r="B147" s="208"/>
      <c r="C147" s="221">
        <f t="shared" ref="C147" si="39">SUM(C139:C146)</f>
        <v>0</v>
      </c>
      <c r="D147" s="221">
        <f t="shared" ref="D147:E147" si="40">SUM(D139:D146)</f>
        <v>0</v>
      </c>
      <c r="E147" s="221">
        <f t="shared" si="40"/>
        <v>0</v>
      </c>
      <c r="F147" s="221">
        <f>SUM(F139:F146)</f>
        <v>0</v>
      </c>
      <c r="G147" s="211">
        <f>SUM(D147:F147)</f>
        <v>0</v>
      </c>
      <c r="H147" s="210">
        <f>+C147-G147</f>
        <v>0</v>
      </c>
    </row>
    <row r="148" spans="1:8" x14ac:dyDescent="0.25">
      <c r="C148" s="210"/>
    </row>
    <row r="149" spans="1:8" x14ac:dyDescent="0.25">
      <c r="C149" s="210"/>
    </row>
    <row r="150" spans="1:8" x14ac:dyDescent="0.25">
      <c r="C150" s="210"/>
    </row>
    <row r="151" spans="1:8" x14ac:dyDescent="0.25">
      <c r="A151" s="15" t="s">
        <v>244</v>
      </c>
      <c r="C151" s="210">
        <f t="shared" ref="C151:F151" si="41">+C136+C130+C124+C117+C103+C111+C147</f>
        <v>10171.14</v>
      </c>
      <c r="D151" s="210">
        <f t="shared" si="41"/>
        <v>2402.7599999999998</v>
      </c>
      <c r="E151" s="210">
        <f t="shared" si="41"/>
        <v>4370.9400000000005</v>
      </c>
      <c r="F151" s="210">
        <f t="shared" si="41"/>
        <v>1572.3400000000001</v>
      </c>
      <c r="G151" s="211">
        <f>SUM(D151:F151)</f>
        <v>8346.0400000000009</v>
      </c>
      <c r="H151" s="210">
        <f>+C151-G151</f>
        <v>1825.0999999999985</v>
      </c>
    </row>
    <row r="155" spans="1:8" x14ac:dyDescent="0.25">
      <c r="B155" t="s">
        <v>234</v>
      </c>
    </row>
    <row r="156" spans="1:8" x14ac:dyDescent="0.25">
      <c r="B156" t="s">
        <v>262</v>
      </c>
    </row>
  </sheetData>
  <conditionalFormatting sqref="H1:H1048576">
    <cfRule type="cellIs" dxfId="6" priority="1" operator="greaterThan">
      <formula>0</formula>
    </cfRule>
    <cfRule type="cellIs" dxfId="5" priority="2" operator="lessThan">
      <formula>0</formula>
    </cfRule>
  </conditionalFormatting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3459-A874-4614-8620-858E95F7D58D}">
  <sheetPr>
    <tabColor rgb="FF00B050"/>
    <pageSetUpPr fitToPage="1"/>
  </sheetPr>
  <dimension ref="A1:Y163"/>
  <sheetViews>
    <sheetView showGridLines="0" tabSelected="1" zoomScale="92" zoomScaleNormal="90" workbookViewId="0">
      <pane xSplit="2" ySplit="2" topLeftCell="C133" activePane="bottomRight" state="frozenSplit"/>
      <selection pane="topRight" activeCell="J1" sqref="J1"/>
      <selection pane="bottomLeft" activeCell="A6" sqref="A6"/>
      <selection pane="bottomRight" activeCell="V138" sqref="V138"/>
    </sheetView>
  </sheetViews>
  <sheetFormatPr defaultRowHeight="13.2" outlineLevelRow="1" outlineLevelCol="1" x14ac:dyDescent="0.25"/>
  <cols>
    <col min="1" max="1" width="4.44140625" customWidth="1"/>
    <col min="2" max="2" width="40.21875" customWidth="1"/>
    <col min="3" max="3" width="8.5546875" customWidth="1"/>
    <col min="4" max="4" width="8.21875" customWidth="1"/>
    <col min="5" max="5" width="8" customWidth="1"/>
    <col min="6" max="6" width="9" style="210" customWidth="1" outlineLevel="1"/>
    <col min="7" max="7" width="8.77734375" style="210" customWidth="1" outlineLevel="1"/>
    <col min="8" max="8" width="7.88671875" style="210" customWidth="1" outlineLevel="1"/>
    <col min="9" max="9" width="8.6640625" style="210" customWidth="1" outlineLevel="1"/>
    <col min="10" max="10" width="11.77734375" style="210" customWidth="1" outlineLevel="1"/>
    <col min="11" max="11" width="7.44140625" style="210" customWidth="1"/>
    <col min="12" max="12" width="8.88671875" style="210" customWidth="1"/>
    <col min="13" max="16" width="7.44140625" style="210" customWidth="1"/>
    <col min="17" max="17" width="8.33203125" style="210" customWidth="1"/>
    <col min="18" max="18" width="8.88671875" style="12"/>
    <col min="19" max="19" width="13.33203125" customWidth="1"/>
    <col min="20" max="20" width="3.5546875" customWidth="1"/>
    <col min="21" max="21" width="8.88671875" style="12"/>
  </cols>
  <sheetData>
    <row r="1" spans="1:25" ht="3.6" customHeight="1" x14ac:dyDescent="0.25">
      <c r="F1" s="210" t="s">
        <v>306</v>
      </c>
      <c r="G1" s="210" t="s">
        <v>306</v>
      </c>
      <c r="H1" s="210" t="s">
        <v>306</v>
      </c>
    </row>
    <row r="2" spans="1:25" s="49" customFormat="1" ht="37.799999999999997" customHeight="1" x14ac:dyDescent="0.25">
      <c r="A2" s="316" t="s">
        <v>290</v>
      </c>
      <c r="B2" s="317"/>
      <c r="C2" s="69" t="s">
        <v>234</v>
      </c>
      <c r="D2" s="69" t="s">
        <v>285</v>
      </c>
      <c r="E2" s="69" t="s">
        <v>271</v>
      </c>
      <c r="F2" s="309" t="s">
        <v>235</v>
      </c>
      <c r="G2" s="309" t="s">
        <v>236</v>
      </c>
      <c r="H2" s="309" t="s">
        <v>246</v>
      </c>
      <c r="I2" s="309" t="s">
        <v>251</v>
      </c>
      <c r="J2" s="309" t="s">
        <v>250</v>
      </c>
      <c r="K2" s="309" t="s">
        <v>252</v>
      </c>
      <c r="L2" s="309" t="s">
        <v>253</v>
      </c>
      <c r="M2" s="245" t="s">
        <v>254</v>
      </c>
      <c r="N2" s="245" t="s">
        <v>255</v>
      </c>
      <c r="O2" s="245" t="s">
        <v>256</v>
      </c>
      <c r="P2" s="245" t="s">
        <v>257</v>
      </c>
      <c r="Q2" s="245" t="s">
        <v>258</v>
      </c>
      <c r="R2" s="267" t="s">
        <v>126</v>
      </c>
      <c r="S2" s="245" t="s">
        <v>318</v>
      </c>
      <c r="U2" s="47" t="s">
        <v>304</v>
      </c>
      <c r="V2" s="49" t="s">
        <v>351</v>
      </c>
      <c r="W2" s="286">
        <v>1.04</v>
      </c>
      <c r="Y2" s="289">
        <f>+L145</f>
        <v>82063</v>
      </c>
    </row>
    <row r="3" spans="1:25" ht="13.8" x14ac:dyDescent="0.25">
      <c r="A3" s="132" t="s">
        <v>308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5" ht="13.8" x14ac:dyDescent="0.25">
      <c r="A4" s="15" t="s">
        <v>281</v>
      </c>
      <c r="B4" s="83" t="s">
        <v>286</v>
      </c>
      <c r="F4" s="306">
        <v>716.16</v>
      </c>
      <c r="G4" s="211">
        <v>732.88</v>
      </c>
      <c r="H4" s="211">
        <v>708.16</v>
      </c>
      <c r="I4" s="211">
        <v>753.12</v>
      </c>
      <c r="J4" s="211">
        <v>803.08</v>
      </c>
      <c r="K4" s="211">
        <f>839.48+26</f>
        <v>865.48</v>
      </c>
      <c r="L4" s="211">
        <v>772.4</v>
      </c>
      <c r="M4" s="211">
        <v>772.4</v>
      </c>
      <c r="N4" s="210">
        <f t="shared" ref="M4:Q5" si="0">+M4</f>
        <v>772.4</v>
      </c>
      <c r="O4" s="210">
        <f t="shared" si="0"/>
        <v>772.4</v>
      </c>
      <c r="P4" s="210">
        <f t="shared" si="0"/>
        <v>772.4</v>
      </c>
      <c r="Q4" s="210">
        <f t="shared" si="0"/>
        <v>772.4</v>
      </c>
      <c r="R4" s="268">
        <f>SUM(F4:Q4)</f>
        <v>9213.279999999997</v>
      </c>
    </row>
    <row r="5" spans="1:25" ht="13.8" x14ac:dyDescent="0.25">
      <c r="A5" s="246"/>
      <c r="B5" s="230" t="s">
        <v>325</v>
      </c>
      <c r="C5" s="318">
        <f>+'BudgerandActual Spend 24-25'!I5</f>
        <v>11092.2</v>
      </c>
      <c r="D5" s="318">
        <f>+'Spend Jan-Mar25'!H7</f>
        <v>-968.96</v>
      </c>
      <c r="E5" s="318">
        <f>+D5+C5</f>
        <v>10123.240000000002</v>
      </c>
      <c r="F5" s="231">
        <f>SUM(F4:F4)</f>
        <v>716.16</v>
      </c>
      <c r="G5" s="231">
        <f>SUM(G4:G4)</f>
        <v>732.88</v>
      </c>
      <c r="H5" s="231">
        <f>SUM(H4:H4)</f>
        <v>708.16</v>
      </c>
      <c r="I5" s="231">
        <f>SUM(I4:I4)</f>
        <v>753.12</v>
      </c>
      <c r="J5" s="231">
        <v>803.08</v>
      </c>
      <c r="K5" s="231">
        <f>SUM(K4)</f>
        <v>865.48</v>
      </c>
      <c r="L5" s="231">
        <f>SUM(L4)</f>
        <v>772.4</v>
      </c>
      <c r="M5" s="231">
        <f t="shared" si="0"/>
        <v>772.4</v>
      </c>
      <c r="N5" s="247">
        <f t="shared" si="0"/>
        <v>772.4</v>
      </c>
      <c r="O5" s="247">
        <f t="shared" si="0"/>
        <v>772.4</v>
      </c>
      <c r="P5" s="247">
        <f t="shared" si="0"/>
        <v>772.4</v>
      </c>
      <c r="Q5" s="247">
        <f t="shared" si="0"/>
        <v>772.4</v>
      </c>
      <c r="R5" s="314">
        <f>SUM(F5:Q5)</f>
        <v>9213.279999999997</v>
      </c>
      <c r="S5" s="308">
        <f>+E5-R5</f>
        <v>909.96000000000458</v>
      </c>
      <c r="T5" s="29"/>
      <c r="U5" s="285">
        <f>+ROUND(R5*Inflation_Rate,0)</f>
        <v>9582</v>
      </c>
    </row>
    <row r="6" spans="1:25" ht="13.8" x14ac:dyDescent="0.25">
      <c r="A6" s="15" t="s">
        <v>281</v>
      </c>
      <c r="B6" s="83" t="s">
        <v>141</v>
      </c>
      <c r="F6" s="211">
        <v>642.92999999999995</v>
      </c>
      <c r="I6" s="211">
        <v>744.73</v>
      </c>
      <c r="L6" s="211">
        <v>806.14</v>
      </c>
      <c r="O6" s="210">
        <v>760</v>
      </c>
      <c r="S6" s="243"/>
    </row>
    <row r="7" spans="1:25" ht="13.8" x14ac:dyDescent="0.25">
      <c r="A7" s="29"/>
      <c r="B7" s="230" t="s">
        <v>326</v>
      </c>
      <c r="C7" s="318">
        <f>+'BudgerandActual Spend 24-25'!I7</f>
        <v>3500</v>
      </c>
      <c r="D7" s="318">
        <f>+'Spend Jan-Mar25'!H13</f>
        <v>-270.27999999999997</v>
      </c>
      <c r="E7" s="318">
        <f>+D7+C7</f>
        <v>3229.7200000000003</v>
      </c>
      <c r="F7" s="231">
        <f t="shared" ref="F7:Q7" si="1">SUM(F6:F6)</f>
        <v>642.92999999999995</v>
      </c>
      <c r="G7" s="231">
        <f t="shared" si="1"/>
        <v>0</v>
      </c>
      <c r="H7" s="231">
        <f t="shared" si="1"/>
        <v>0</v>
      </c>
      <c r="I7" s="231">
        <f t="shared" si="1"/>
        <v>744.73</v>
      </c>
      <c r="J7" s="231">
        <f t="shared" si="1"/>
        <v>0</v>
      </c>
      <c r="K7" s="231">
        <f t="shared" si="1"/>
        <v>0</v>
      </c>
      <c r="L7" s="231">
        <f t="shared" si="1"/>
        <v>806.14</v>
      </c>
      <c r="M7" s="231">
        <f t="shared" si="1"/>
        <v>0</v>
      </c>
      <c r="N7" s="247">
        <f t="shared" si="1"/>
        <v>0</v>
      </c>
      <c r="O7" s="247">
        <f t="shared" si="1"/>
        <v>760</v>
      </c>
      <c r="P7" s="247">
        <f t="shared" si="1"/>
        <v>0</v>
      </c>
      <c r="Q7" s="247">
        <f t="shared" si="1"/>
        <v>0</v>
      </c>
      <c r="R7" s="314">
        <f>SUM(F7:Q7)</f>
        <v>2953.7999999999997</v>
      </c>
      <c r="S7" s="308">
        <f>+E7-R7</f>
        <v>275.92000000000053</v>
      </c>
      <c r="T7" s="29"/>
      <c r="U7" s="285">
        <f>+ROUND(R7*Inflation_Rate,0)</f>
        <v>3072</v>
      </c>
    </row>
    <row r="8" spans="1:25" ht="13.8" x14ac:dyDescent="0.25">
      <c r="A8" s="15" t="s">
        <v>281</v>
      </c>
      <c r="B8" s="83" t="s">
        <v>277</v>
      </c>
      <c r="F8" s="258">
        <v>17.98</v>
      </c>
      <c r="G8" s="211">
        <v>95.59</v>
      </c>
      <c r="J8" s="211">
        <v>95.59</v>
      </c>
      <c r="N8" s="210">
        <v>125</v>
      </c>
      <c r="Q8" s="210">
        <v>125</v>
      </c>
      <c r="R8" s="268">
        <f>SUM(F8:Q8)</f>
        <v>459.16</v>
      </c>
    </row>
    <row r="9" spans="1:25" ht="13.8" x14ac:dyDescent="0.25">
      <c r="A9" s="15" t="s">
        <v>281</v>
      </c>
      <c r="B9" s="83" t="s">
        <v>291</v>
      </c>
      <c r="J9" s="211">
        <v>10.99</v>
      </c>
      <c r="Q9" s="210">
        <v>30</v>
      </c>
      <c r="R9" s="268">
        <f>SUM(F9:Q9)</f>
        <v>40.99</v>
      </c>
    </row>
    <row r="10" spans="1:25" ht="13.8" x14ac:dyDescent="0.25">
      <c r="A10" s="257" t="s">
        <v>281</v>
      </c>
      <c r="B10" s="83" t="s">
        <v>383</v>
      </c>
      <c r="I10" s="211">
        <f>12.36+12.1+12.1</f>
        <v>36.56</v>
      </c>
      <c r="K10" s="211">
        <v>12.1</v>
      </c>
      <c r="L10" s="258"/>
      <c r="M10" s="211">
        <v>12.1</v>
      </c>
      <c r="N10" s="210">
        <v>12.1</v>
      </c>
      <c r="O10" s="210">
        <v>12.1</v>
      </c>
      <c r="P10" s="210">
        <v>12.1</v>
      </c>
      <c r="Q10" s="210">
        <v>12.1</v>
      </c>
      <c r="R10" s="268">
        <f>SUM(F10:Q10)</f>
        <v>109.15999999999998</v>
      </c>
    </row>
    <row r="11" spans="1:25" ht="13.8" x14ac:dyDescent="0.25">
      <c r="A11" s="29"/>
      <c r="B11" s="230" t="s">
        <v>327</v>
      </c>
      <c r="C11" s="318">
        <f>+'BudgerandActual Spend 24-25'!I8</f>
        <v>504</v>
      </c>
      <c r="D11" s="318">
        <f>+'Spend Jan-Mar25'!H17</f>
        <v>143.93999999999994</v>
      </c>
      <c r="E11" s="318">
        <f>+D11+C11</f>
        <v>647.93999999999994</v>
      </c>
      <c r="F11" s="231">
        <f>SUM(F8:F10)</f>
        <v>17.98</v>
      </c>
      <c r="G11" s="231">
        <f>SUM(G8:G10)</f>
        <v>95.59</v>
      </c>
      <c r="H11" s="231">
        <f t="shared" ref="H11:J11" si="2">SUM(H8:H10)</f>
        <v>0</v>
      </c>
      <c r="I11" s="231">
        <f t="shared" si="2"/>
        <v>36.56</v>
      </c>
      <c r="J11" s="231">
        <f t="shared" si="2"/>
        <v>106.58</v>
      </c>
      <c r="K11" s="231">
        <f>SUM(K8:K10)</f>
        <v>12.1</v>
      </c>
      <c r="L11" s="231">
        <f t="shared" ref="L11" si="3">SUM(L8:L10)</f>
        <v>0</v>
      </c>
      <c r="M11" s="231">
        <f>SUM(M8:M10)</f>
        <v>12.1</v>
      </c>
      <c r="N11" s="247">
        <f t="shared" ref="N11" si="4">SUM(N8:N10)</f>
        <v>137.1</v>
      </c>
      <c r="O11" s="247">
        <f t="shared" ref="O11" si="5">SUM(O8:O10)</f>
        <v>12.1</v>
      </c>
      <c r="P11" s="247">
        <f t="shared" ref="P11" si="6">SUM(P8:P10)</f>
        <v>12.1</v>
      </c>
      <c r="Q11" s="247">
        <f>SUM(Q8:Q10)</f>
        <v>167.1</v>
      </c>
      <c r="R11" s="314">
        <f>SUM(F11:Q11)</f>
        <v>609.31000000000006</v>
      </c>
      <c r="S11" s="308">
        <f>+E11-R11</f>
        <v>38.629999999999882</v>
      </c>
      <c r="T11" s="29"/>
      <c r="U11" s="285">
        <f>+ROUND(R11*Inflation_Rate,0)</f>
        <v>634</v>
      </c>
    </row>
    <row r="12" spans="1:25" ht="13.8" x14ac:dyDescent="0.25">
      <c r="A12" s="257" t="s">
        <v>281</v>
      </c>
      <c r="B12" s="83" t="s">
        <v>298</v>
      </c>
      <c r="F12" s="258">
        <v>95.99</v>
      </c>
      <c r="R12" s="268">
        <f t="shared" ref="R12:R44" si="7">SUM(F12:Q12)</f>
        <v>95.99</v>
      </c>
      <c r="S12" s="283" t="s">
        <v>303</v>
      </c>
    </row>
    <row r="13" spans="1:25" ht="13.8" x14ac:dyDescent="0.25">
      <c r="A13" s="257" t="s">
        <v>281</v>
      </c>
      <c r="B13" s="83" t="s">
        <v>287</v>
      </c>
      <c r="Q13" s="210">
        <v>250</v>
      </c>
      <c r="R13" s="268">
        <f t="shared" si="7"/>
        <v>250</v>
      </c>
      <c r="S13" s="243"/>
    </row>
    <row r="14" spans="1:25" ht="13.8" x14ac:dyDescent="0.25">
      <c r="A14" s="257" t="s">
        <v>281</v>
      </c>
      <c r="B14" s="83" t="s">
        <v>324</v>
      </c>
      <c r="L14" s="211">
        <v>2.5</v>
      </c>
      <c r="R14" s="268">
        <f t="shared" si="7"/>
        <v>2.5</v>
      </c>
      <c r="S14" s="243"/>
    </row>
    <row r="15" spans="1:25" ht="13.8" x14ac:dyDescent="0.25">
      <c r="A15" s="296" t="s">
        <v>371</v>
      </c>
      <c r="B15" s="83" t="s">
        <v>317</v>
      </c>
      <c r="L15" s="287">
        <f>((SUM(F12:L14)*0.166)*-1)-SUM(F15:K15)</f>
        <v>-16.349340000000002</v>
      </c>
      <c r="Q15" s="210">
        <f>(SUM(R12:R13)*0.166*-1)-SUM(F15:P15)</f>
        <v>-41.085000000000008</v>
      </c>
      <c r="R15" s="268">
        <f t="shared" si="7"/>
        <v>-57.434340000000006</v>
      </c>
      <c r="S15" s="243"/>
    </row>
    <row r="16" spans="1:25" ht="13.8" x14ac:dyDescent="0.25">
      <c r="A16" s="29"/>
      <c r="B16" s="230" t="s">
        <v>328</v>
      </c>
      <c r="C16" s="319">
        <f>+'BudgerandActual Spend 24-25'!I9</f>
        <v>400</v>
      </c>
      <c r="D16" s="319">
        <f>+'Spend Jan-Mar25'!H20</f>
        <v>0</v>
      </c>
      <c r="E16" s="319">
        <f>+D16+C16</f>
        <v>400</v>
      </c>
      <c r="F16" s="231">
        <f>SUM(F12:F13)</f>
        <v>95.99</v>
      </c>
      <c r="G16" s="231">
        <f>SUM(G12:G13)</f>
        <v>0</v>
      </c>
      <c r="H16" s="231">
        <f>SUM(H12:H13)</f>
        <v>0</v>
      </c>
      <c r="I16" s="231">
        <f>SUM(I12:I13)</f>
        <v>0</v>
      </c>
      <c r="J16" s="231">
        <f>SUM(J12:J13)</f>
        <v>0</v>
      </c>
      <c r="K16" s="231">
        <f t="shared" ref="K16:Q16" si="8">SUM(K12:K15)</f>
        <v>0</v>
      </c>
      <c r="L16" s="231">
        <f t="shared" si="8"/>
        <v>-13.849340000000002</v>
      </c>
      <c r="M16" s="231">
        <f t="shared" si="8"/>
        <v>0</v>
      </c>
      <c r="N16" s="247">
        <f t="shared" si="8"/>
        <v>0</v>
      </c>
      <c r="O16" s="247">
        <f t="shared" si="8"/>
        <v>0</v>
      </c>
      <c r="P16" s="247">
        <f t="shared" si="8"/>
        <v>0</v>
      </c>
      <c r="Q16" s="247">
        <f t="shared" si="8"/>
        <v>208.91499999999999</v>
      </c>
      <c r="R16" s="314">
        <f t="shared" si="7"/>
        <v>291.05565999999999</v>
      </c>
      <c r="S16" s="308">
        <f>+E16-R16</f>
        <v>108.94434000000001</v>
      </c>
      <c r="T16" s="29"/>
      <c r="U16" s="285">
        <f>+ROUND(R16*Inflation_Rate,0)</f>
        <v>303</v>
      </c>
    </row>
    <row r="17" spans="1:21" ht="13.8" x14ac:dyDescent="0.25">
      <c r="A17" s="257" t="s">
        <v>281</v>
      </c>
      <c r="B17" s="83" t="s">
        <v>289</v>
      </c>
      <c r="G17" s="211">
        <v>6</v>
      </c>
      <c r="H17" s="211">
        <v>6</v>
      </c>
      <c r="I17" s="211">
        <v>6</v>
      </c>
      <c r="J17" s="211">
        <v>6</v>
      </c>
      <c r="K17" s="211">
        <v>6</v>
      </c>
      <c r="L17" s="211">
        <v>6</v>
      </c>
      <c r="M17" s="210">
        <v>6</v>
      </c>
      <c r="N17" s="210">
        <v>6</v>
      </c>
      <c r="O17" s="210">
        <v>6</v>
      </c>
      <c r="P17" s="210">
        <v>6</v>
      </c>
      <c r="Q17" s="210">
        <v>6</v>
      </c>
      <c r="R17" s="268">
        <f t="shared" si="7"/>
        <v>66</v>
      </c>
      <c r="S17" s="243"/>
      <c r="T17" s="15"/>
    </row>
    <row r="18" spans="1:21" ht="13.8" x14ac:dyDescent="0.25">
      <c r="A18" s="257" t="s">
        <v>281</v>
      </c>
      <c r="B18" s="83" t="s">
        <v>288</v>
      </c>
      <c r="Q18" s="210">
        <v>600</v>
      </c>
      <c r="R18" s="268">
        <f t="shared" si="7"/>
        <v>600</v>
      </c>
      <c r="S18" s="243"/>
      <c r="U18" s="15"/>
    </row>
    <row r="19" spans="1:21" ht="13.8" x14ac:dyDescent="0.25">
      <c r="A19" s="296" t="s">
        <v>371</v>
      </c>
      <c r="B19" s="83" t="s">
        <v>317</v>
      </c>
      <c r="L19" s="287">
        <f>((SUM(F17:L18)*0.166)*-1)-SUM(F19:K19)</f>
        <v>-5.976</v>
      </c>
      <c r="Q19" s="210">
        <f>((SUM(R17:R18)*0.166)*-1)-SUM(F19:P19)</f>
        <v>-104.58000000000001</v>
      </c>
      <c r="R19" s="268">
        <f t="shared" si="7"/>
        <v>-110.55600000000001</v>
      </c>
      <c r="S19" s="243"/>
      <c r="T19" s="15"/>
    </row>
    <row r="20" spans="1:21" ht="13.8" x14ac:dyDescent="0.25">
      <c r="A20" s="29"/>
      <c r="B20" s="230" t="s">
        <v>329</v>
      </c>
      <c r="C20" s="318">
        <f>+'BudgerandActual Spend 24-25'!I10</f>
        <v>200</v>
      </c>
      <c r="D20" s="318">
        <f>+'Spend Jan-Mar25'!H23</f>
        <v>600</v>
      </c>
      <c r="E20" s="318">
        <f>+D20+C20</f>
        <v>800</v>
      </c>
      <c r="F20" s="231">
        <f t="shared" ref="F20:Q20" si="9">SUM(F17:F18)</f>
        <v>0</v>
      </c>
      <c r="G20" s="231">
        <f t="shared" si="9"/>
        <v>6</v>
      </c>
      <c r="H20" s="231">
        <f t="shared" si="9"/>
        <v>6</v>
      </c>
      <c r="I20" s="231">
        <f t="shared" si="9"/>
        <v>6</v>
      </c>
      <c r="J20" s="231">
        <f t="shared" si="9"/>
        <v>6</v>
      </c>
      <c r="K20" s="231">
        <f t="shared" si="9"/>
        <v>6</v>
      </c>
      <c r="L20" s="231">
        <f t="shared" si="9"/>
        <v>6</v>
      </c>
      <c r="M20" s="247">
        <f t="shared" si="9"/>
        <v>6</v>
      </c>
      <c r="N20" s="247">
        <f t="shared" si="9"/>
        <v>6</v>
      </c>
      <c r="O20" s="247">
        <f t="shared" si="9"/>
        <v>6</v>
      </c>
      <c r="P20" s="247">
        <f t="shared" si="9"/>
        <v>6</v>
      </c>
      <c r="Q20" s="247">
        <f t="shared" si="9"/>
        <v>606</v>
      </c>
      <c r="R20" s="314">
        <f t="shared" si="7"/>
        <v>666</v>
      </c>
      <c r="S20" s="308">
        <f>+E20-R20</f>
        <v>134</v>
      </c>
      <c r="T20" s="29"/>
      <c r="U20" s="285">
        <f>+ROUND(R20*Inflation_Rate,0)</f>
        <v>693</v>
      </c>
    </row>
    <row r="21" spans="1:21" ht="13.8" x14ac:dyDescent="0.25">
      <c r="A21" s="259" t="s">
        <v>281</v>
      </c>
      <c r="B21" s="83" t="s">
        <v>279</v>
      </c>
      <c r="H21" s="211">
        <v>47</v>
      </c>
      <c r="R21" s="268">
        <f t="shared" si="7"/>
        <v>47</v>
      </c>
      <c r="S21" s="243"/>
    </row>
    <row r="22" spans="1:21" ht="13.8" x14ac:dyDescent="0.25">
      <c r="A22" s="260" t="s">
        <v>281</v>
      </c>
      <c r="B22" s="83" t="s">
        <v>136</v>
      </c>
      <c r="R22" s="268">
        <f>SUM(F22:Q22)</f>
        <v>0</v>
      </c>
      <c r="S22" s="243"/>
      <c r="T22" s="15"/>
    </row>
    <row r="23" spans="1:21" ht="13.8" x14ac:dyDescent="0.25">
      <c r="A23" s="260" t="s">
        <v>281</v>
      </c>
      <c r="B23" s="83" t="s">
        <v>278</v>
      </c>
      <c r="P23" s="210">
        <v>50</v>
      </c>
      <c r="R23" s="268">
        <f t="shared" si="7"/>
        <v>50</v>
      </c>
      <c r="S23" s="243"/>
    </row>
    <row r="24" spans="1:21" ht="13.8" x14ac:dyDescent="0.25">
      <c r="A24" s="260" t="s">
        <v>281</v>
      </c>
      <c r="B24" s="83" t="s">
        <v>280</v>
      </c>
      <c r="P24" s="210">
        <v>50</v>
      </c>
      <c r="R24" s="268">
        <f t="shared" si="7"/>
        <v>50</v>
      </c>
      <c r="S24" s="243"/>
    </row>
    <row r="25" spans="1:21" ht="13.8" x14ac:dyDescent="0.25">
      <c r="A25" s="29"/>
      <c r="B25" s="230" t="s">
        <v>330</v>
      </c>
      <c r="C25" s="318">
        <f>582+160</f>
        <v>742</v>
      </c>
      <c r="D25" s="318">
        <f>+'Spend Jan-Mar25'!H26</f>
        <v>-190</v>
      </c>
      <c r="E25" s="318">
        <f>+D25+C25</f>
        <v>552</v>
      </c>
      <c r="F25" s="231">
        <f t="shared" ref="F25:Q25" si="10">SUM(F21:F24)</f>
        <v>0</v>
      </c>
      <c r="G25" s="231">
        <f t="shared" si="10"/>
        <v>0</v>
      </c>
      <c r="H25" s="231">
        <f t="shared" si="10"/>
        <v>47</v>
      </c>
      <c r="I25" s="231">
        <f t="shared" si="10"/>
        <v>0</v>
      </c>
      <c r="J25" s="231">
        <f t="shared" si="10"/>
        <v>0</v>
      </c>
      <c r="K25" s="231">
        <f t="shared" si="10"/>
        <v>0</v>
      </c>
      <c r="L25" s="231">
        <f t="shared" si="10"/>
        <v>0</v>
      </c>
      <c r="M25" s="231">
        <f t="shared" si="10"/>
        <v>0</v>
      </c>
      <c r="N25" s="247">
        <f t="shared" si="10"/>
        <v>0</v>
      </c>
      <c r="O25" s="247">
        <f t="shared" si="10"/>
        <v>0</v>
      </c>
      <c r="P25" s="247">
        <f t="shared" si="10"/>
        <v>100</v>
      </c>
      <c r="Q25" s="247">
        <f t="shared" si="10"/>
        <v>0</v>
      </c>
      <c r="R25" s="314">
        <f t="shared" si="7"/>
        <v>147</v>
      </c>
      <c r="S25" s="308">
        <f>+E25-R25</f>
        <v>405</v>
      </c>
      <c r="T25" s="29"/>
      <c r="U25" s="292">
        <f>+ROUND(R25*Inflation_Rate,0)+168</f>
        <v>321</v>
      </c>
    </row>
    <row r="26" spans="1:21" ht="13.8" x14ac:dyDescent="0.25">
      <c r="A26" s="260" t="s">
        <v>281</v>
      </c>
      <c r="B26" s="83" t="s">
        <v>149</v>
      </c>
      <c r="N26" s="210">
        <v>500</v>
      </c>
      <c r="R26" s="268">
        <f t="shared" si="7"/>
        <v>500</v>
      </c>
      <c r="S26" s="243"/>
    </row>
    <row r="27" spans="1:21" ht="13.8" x14ac:dyDescent="0.25">
      <c r="A27" s="29"/>
      <c r="B27" s="230" t="s">
        <v>331</v>
      </c>
      <c r="C27" s="318">
        <f>+'BudgerandActual Spend 24-25'!I13</f>
        <v>0</v>
      </c>
      <c r="D27" s="318">
        <f>+'Spend Jan-Mar25'!H32</f>
        <v>0</v>
      </c>
      <c r="E27" s="318">
        <f>+D27+C27</f>
        <v>0</v>
      </c>
      <c r="F27" s="231">
        <f t="shared" ref="F27:Q27" si="11">SUM(F26:F26)</f>
        <v>0</v>
      </c>
      <c r="G27" s="231">
        <f t="shared" si="11"/>
        <v>0</v>
      </c>
      <c r="H27" s="231">
        <f t="shared" si="11"/>
        <v>0</v>
      </c>
      <c r="I27" s="231">
        <f t="shared" si="11"/>
        <v>0</v>
      </c>
      <c r="J27" s="231">
        <f t="shared" si="11"/>
        <v>0</v>
      </c>
      <c r="K27" s="231">
        <f t="shared" si="11"/>
        <v>0</v>
      </c>
      <c r="L27" s="231">
        <f t="shared" si="11"/>
        <v>0</v>
      </c>
      <c r="M27" s="231">
        <f t="shared" si="11"/>
        <v>0</v>
      </c>
      <c r="N27" s="247">
        <f t="shared" si="11"/>
        <v>500</v>
      </c>
      <c r="O27" s="247">
        <f t="shared" si="11"/>
        <v>0</v>
      </c>
      <c r="P27" s="247">
        <f t="shared" si="11"/>
        <v>0</v>
      </c>
      <c r="Q27" s="247">
        <f t="shared" si="11"/>
        <v>0</v>
      </c>
      <c r="R27" s="314">
        <f t="shared" si="7"/>
        <v>500</v>
      </c>
      <c r="S27" s="308">
        <f>+E27-R27</f>
        <v>-500</v>
      </c>
      <c r="T27" s="29"/>
      <c r="U27" s="292">
        <f>+ROUND(R27*Inflation_Rate,0)</f>
        <v>520</v>
      </c>
    </row>
    <row r="28" spans="1:21" ht="13.8" x14ac:dyDescent="0.25">
      <c r="A28" s="259" t="s">
        <v>281</v>
      </c>
      <c r="B28" s="83" t="s">
        <v>144</v>
      </c>
      <c r="G28" s="211">
        <v>819.95</v>
      </c>
      <c r="R28" s="268">
        <f t="shared" si="7"/>
        <v>819.95</v>
      </c>
      <c r="S28" s="243"/>
    </row>
    <row r="29" spans="1:21" ht="13.8" x14ac:dyDescent="0.25">
      <c r="A29" s="29"/>
      <c r="B29" s="230" t="s">
        <v>332</v>
      </c>
      <c r="C29" s="318">
        <f>+'BudgerandActual Spend 24-25'!I14</f>
        <v>997</v>
      </c>
      <c r="D29" s="318">
        <f>+'Spend Jan-Mar25'!H35</f>
        <v>0</v>
      </c>
      <c r="E29" s="318">
        <f>+D29+C29</f>
        <v>997</v>
      </c>
      <c r="F29" s="231">
        <f t="shared" ref="F29:Q29" si="12">SUM(F28:F28)</f>
        <v>0</v>
      </c>
      <c r="G29" s="231">
        <f t="shared" si="12"/>
        <v>819.95</v>
      </c>
      <c r="H29" s="231">
        <f t="shared" si="12"/>
        <v>0</v>
      </c>
      <c r="I29" s="231">
        <f t="shared" si="12"/>
        <v>0</v>
      </c>
      <c r="J29" s="231">
        <f t="shared" si="12"/>
        <v>0</v>
      </c>
      <c r="K29" s="231">
        <f t="shared" si="12"/>
        <v>0</v>
      </c>
      <c r="L29" s="231">
        <f t="shared" si="12"/>
        <v>0</v>
      </c>
      <c r="M29" s="231">
        <f t="shared" si="12"/>
        <v>0</v>
      </c>
      <c r="N29" s="247">
        <f t="shared" si="12"/>
        <v>0</v>
      </c>
      <c r="O29" s="247">
        <f t="shared" si="12"/>
        <v>0</v>
      </c>
      <c r="P29" s="247">
        <f t="shared" si="12"/>
        <v>0</v>
      </c>
      <c r="Q29" s="247">
        <f t="shared" si="12"/>
        <v>0</v>
      </c>
      <c r="R29" s="314">
        <f t="shared" si="7"/>
        <v>819.95</v>
      </c>
      <c r="S29" s="308">
        <f>+E29-R29</f>
        <v>177.04999999999995</v>
      </c>
      <c r="T29" s="29"/>
      <c r="U29" s="285">
        <f>+ROUND(R29*Inflation_Rate,0)</f>
        <v>853</v>
      </c>
    </row>
    <row r="30" spans="1:21" ht="13.8" x14ac:dyDescent="0.25">
      <c r="A30" s="257" t="s">
        <v>281</v>
      </c>
      <c r="B30" s="83" t="s">
        <v>12</v>
      </c>
      <c r="I30" s="211">
        <v>90</v>
      </c>
      <c r="J30" s="211">
        <v>30</v>
      </c>
      <c r="K30" s="211">
        <v>30</v>
      </c>
      <c r="L30" s="211">
        <v>30</v>
      </c>
      <c r="M30" s="210">
        <v>30</v>
      </c>
      <c r="N30" s="210">
        <v>30</v>
      </c>
      <c r="O30" s="210">
        <v>30</v>
      </c>
      <c r="P30" s="210">
        <v>30</v>
      </c>
      <c r="Q30" s="210">
        <v>30</v>
      </c>
      <c r="R30" s="268">
        <f t="shared" si="7"/>
        <v>330</v>
      </c>
    </row>
    <row r="31" spans="1:21" ht="13.8" x14ac:dyDescent="0.25">
      <c r="A31" s="296" t="s">
        <v>371</v>
      </c>
      <c r="B31" s="83" t="s">
        <v>317</v>
      </c>
      <c r="L31" s="287">
        <f>((SUM(F30:L30)*0.166)*-1)-SUM(F31:K31)</f>
        <v>-29.880000000000003</v>
      </c>
      <c r="Q31" s="210">
        <f>((SUM(R30)*0.166)*-1)-SUM(F31:P31)</f>
        <v>-24.9</v>
      </c>
      <c r="R31" s="268">
        <f t="shared" si="7"/>
        <v>-54.78</v>
      </c>
    </row>
    <row r="32" spans="1:21" ht="13.8" x14ac:dyDescent="0.25">
      <c r="A32" s="29"/>
      <c r="B32" s="230" t="s">
        <v>333</v>
      </c>
      <c r="C32" s="318">
        <f>+'BudgerandActual Spend 24-25'!I15</f>
        <v>260</v>
      </c>
      <c r="D32" s="318">
        <f>+'Spend Jan-Mar25'!H38</f>
        <v>0</v>
      </c>
      <c r="E32" s="318">
        <f>+D32+C32</f>
        <v>260</v>
      </c>
      <c r="F32" s="231">
        <f t="shared" ref="F32:Q32" si="13">SUM(F30:F31)</f>
        <v>0</v>
      </c>
      <c r="G32" s="231">
        <f t="shared" si="13"/>
        <v>0</v>
      </c>
      <c r="H32" s="231">
        <f t="shared" si="13"/>
        <v>0</v>
      </c>
      <c r="I32" s="231">
        <f t="shared" si="13"/>
        <v>90</v>
      </c>
      <c r="J32" s="231">
        <f t="shared" si="13"/>
        <v>30</v>
      </c>
      <c r="K32" s="231">
        <f t="shared" si="13"/>
        <v>30</v>
      </c>
      <c r="L32" s="231">
        <f t="shared" si="13"/>
        <v>0.11999999999999744</v>
      </c>
      <c r="M32" s="303">
        <f t="shared" si="13"/>
        <v>30</v>
      </c>
      <c r="N32" s="247">
        <f t="shared" si="13"/>
        <v>30</v>
      </c>
      <c r="O32" s="247">
        <f t="shared" si="13"/>
        <v>30</v>
      </c>
      <c r="P32" s="247">
        <f t="shared" si="13"/>
        <v>30</v>
      </c>
      <c r="Q32" s="247">
        <f t="shared" si="13"/>
        <v>5.1000000000000014</v>
      </c>
      <c r="R32" s="314">
        <f t="shared" si="7"/>
        <v>275.22000000000003</v>
      </c>
      <c r="S32" s="308">
        <f>+E32-R32</f>
        <v>-15.220000000000027</v>
      </c>
      <c r="T32" s="29"/>
      <c r="U32" s="285">
        <f>+ROUND(R32*Inflation_Rate,0)</f>
        <v>286</v>
      </c>
    </row>
    <row r="33" spans="1:22" ht="13.8" x14ac:dyDescent="0.25">
      <c r="A33" s="259" t="s">
        <v>281</v>
      </c>
      <c r="B33" s="83" t="s">
        <v>249</v>
      </c>
      <c r="G33" s="211">
        <v>103</v>
      </c>
      <c r="R33" s="268">
        <f t="shared" si="7"/>
        <v>103</v>
      </c>
      <c r="S33" s="243"/>
    </row>
    <row r="34" spans="1:22" ht="13.8" x14ac:dyDescent="0.25">
      <c r="A34" s="29"/>
      <c r="B34" s="230" t="s">
        <v>334</v>
      </c>
      <c r="C34" s="318">
        <f>+'BudgerandActual Spend 24-25'!I16</f>
        <v>124</v>
      </c>
      <c r="D34" s="318">
        <f>+'Spend Jan-Mar25'!H41</f>
        <v>0</v>
      </c>
      <c r="E34" s="318">
        <f>+D34+C34</f>
        <v>124</v>
      </c>
      <c r="F34" s="231">
        <f t="shared" ref="F34:Q34" si="14">SUM(F33:F33)</f>
        <v>0</v>
      </c>
      <c r="G34" s="231">
        <f t="shared" si="14"/>
        <v>103</v>
      </c>
      <c r="H34" s="231">
        <f t="shared" si="14"/>
        <v>0</v>
      </c>
      <c r="I34" s="231">
        <f t="shared" si="14"/>
        <v>0</v>
      </c>
      <c r="J34" s="231">
        <f t="shared" si="14"/>
        <v>0</v>
      </c>
      <c r="K34" s="231">
        <f t="shared" si="14"/>
        <v>0</v>
      </c>
      <c r="L34" s="231">
        <f t="shared" si="14"/>
        <v>0</v>
      </c>
      <c r="M34" s="231">
        <f t="shared" si="14"/>
        <v>0</v>
      </c>
      <c r="N34" s="247">
        <f t="shared" si="14"/>
        <v>0</v>
      </c>
      <c r="O34" s="247">
        <f t="shared" si="14"/>
        <v>0</v>
      </c>
      <c r="P34" s="247">
        <f t="shared" si="14"/>
        <v>0</v>
      </c>
      <c r="Q34" s="247">
        <f t="shared" si="14"/>
        <v>0</v>
      </c>
      <c r="R34" s="314">
        <f t="shared" si="7"/>
        <v>103</v>
      </c>
      <c r="S34" s="308">
        <f>+E34-R34</f>
        <v>21</v>
      </c>
      <c r="T34" s="29"/>
      <c r="U34" s="285">
        <f>+ROUND(R34*Inflation_Rate,0)</f>
        <v>107</v>
      </c>
    </row>
    <row r="35" spans="1:22" ht="13.8" x14ac:dyDescent="0.25">
      <c r="A35" s="257" t="s">
        <v>281</v>
      </c>
      <c r="B35" s="83" t="s">
        <v>305</v>
      </c>
      <c r="J35" s="211">
        <v>378</v>
      </c>
      <c r="R35" s="268">
        <f t="shared" si="7"/>
        <v>378</v>
      </c>
      <c r="S35" s="243"/>
    </row>
    <row r="36" spans="1:22" ht="13.8" x14ac:dyDescent="0.25">
      <c r="A36" s="296" t="s">
        <v>371</v>
      </c>
      <c r="B36" s="83" t="s">
        <v>381</v>
      </c>
      <c r="L36" s="258"/>
      <c r="R36" s="268">
        <f t="shared" si="7"/>
        <v>0</v>
      </c>
      <c r="S36" s="243"/>
    </row>
    <row r="37" spans="1:22" ht="13.8" x14ac:dyDescent="0.25">
      <c r="A37" s="29"/>
      <c r="B37" s="230" t="s">
        <v>335</v>
      </c>
      <c r="C37" s="318">
        <f>+'BudgerandActual Spend 24-25'!I17</f>
        <v>450</v>
      </c>
      <c r="D37" s="318">
        <f>+'Spend Jan-Mar25'!H44</f>
        <v>0</v>
      </c>
      <c r="E37" s="318">
        <f>+D37+C37</f>
        <v>450</v>
      </c>
      <c r="F37" s="231">
        <f>SUM(F35:F36)</f>
        <v>0</v>
      </c>
      <c r="G37" s="231">
        <f t="shared" ref="G37:Q37" si="15">SUM(G35:G36)</f>
        <v>0</v>
      </c>
      <c r="H37" s="231">
        <f t="shared" si="15"/>
        <v>0</v>
      </c>
      <c r="I37" s="231">
        <f t="shared" si="15"/>
        <v>0</v>
      </c>
      <c r="J37" s="231">
        <f t="shared" si="15"/>
        <v>378</v>
      </c>
      <c r="K37" s="231">
        <f t="shared" si="15"/>
        <v>0</v>
      </c>
      <c r="L37" s="231">
        <f t="shared" si="15"/>
        <v>0</v>
      </c>
      <c r="M37" s="231">
        <f t="shared" si="15"/>
        <v>0</v>
      </c>
      <c r="N37" s="247">
        <f t="shared" si="15"/>
        <v>0</v>
      </c>
      <c r="O37" s="247">
        <f t="shared" si="15"/>
        <v>0</v>
      </c>
      <c r="P37" s="247">
        <f t="shared" si="15"/>
        <v>0</v>
      </c>
      <c r="Q37" s="247">
        <f t="shared" si="15"/>
        <v>0</v>
      </c>
      <c r="R37" s="314">
        <f>SUM(R35:R36)</f>
        <v>378</v>
      </c>
      <c r="S37" s="308">
        <f>+E37-R37</f>
        <v>72</v>
      </c>
      <c r="T37" s="29"/>
      <c r="U37" s="285">
        <f>+ROUND(R37*Inflation_Rate,0)</f>
        <v>393</v>
      </c>
    </row>
    <row r="38" spans="1:22" ht="13.8" x14ac:dyDescent="0.25">
      <c r="B38" s="83" t="s">
        <v>319</v>
      </c>
      <c r="R38" s="268">
        <f t="shared" ref="R38:R39" si="16">SUM(F38:Q38)</f>
        <v>0</v>
      </c>
      <c r="S38" s="243"/>
    </row>
    <row r="39" spans="1:22" ht="13.8" x14ac:dyDescent="0.25">
      <c r="A39" s="29"/>
      <c r="B39" s="230" t="s">
        <v>336</v>
      </c>
      <c r="C39" s="320">
        <v>0</v>
      </c>
      <c r="D39" s="321">
        <f>+'Spend Jan-Mar25'!H57</f>
        <v>0</v>
      </c>
      <c r="E39" s="318">
        <f>+D39+C39</f>
        <v>0</v>
      </c>
      <c r="F39" s="231">
        <f t="shared" ref="F39:Q39" si="17">SUM(F38:F38)</f>
        <v>0</v>
      </c>
      <c r="G39" s="231">
        <f t="shared" si="17"/>
        <v>0</v>
      </c>
      <c r="H39" s="231">
        <f t="shared" si="17"/>
        <v>0</v>
      </c>
      <c r="I39" s="231">
        <f t="shared" si="17"/>
        <v>0</v>
      </c>
      <c r="J39" s="231">
        <f t="shared" si="17"/>
        <v>0</v>
      </c>
      <c r="K39" s="231">
        <f t="shared" si="17"/>
        <v>0</v>
      </c>
      <c r="L39" s="231">
        <f t="shared" si="17"/>
        <v>0</v>
      </c>
      <c r="M39" s="231">
        <f t="shared" si="17"/>
        <v>0</v>
      </c>
      <c r="N39" s="247">
        <f t="shared" si="17"/>
        <v>0</v>
      </c>
      <c r="O39" s="247">
        <f t="shared" si="17"/>
        <v>0</v>
      </c>
      <c r="P39" s="247">
        <f t="shared" si="17"/>
        <v>0</v>
      </c>
      <c r="Q39" s="247">
        <f t="shared" si="17"/>
        <v>0</v>
      </c>
      <c r="R39" s="314">
        <f t="shared" si="16"/>
        <v>0</v>
      </c>
      <c r="S39" s="308">
        <f>+E39-R39</f>
        <v>0</v>
      </c>
      <c r="T39" s="29"/>
      <c r="U39" s="273">
        <v>3000</v>
      </c>
    </row>
    <row r="40" spans="1:22" ht="13.8" x14ac:dyDescent="0.25">
      <c r="B40" s="83" t="s">
        <v>139</v>
      </c>
      <c r="R40" s="268">
        <f t="shared" si="7"/>
        <v>0</v>
      </c>
      <c r="S40" s="243"/>
    </row>
    <row r="41" spans="1:22" ht="13.8" x14ac:dyDescent="0.25">
      <c r="A41" s="29"/>
      <c r="B41" s="230" t="s">
        <v>337</v>
      </c>
      <c r="C41" s="320">
        <f>+'BudgerandActual Spend 24-25'!I22</f>
        <v>250</v>
      </c>
      <c r="D41" s="321">
        <f>+'Spend Jan-Mar25'!H59</f>
        <v>0</v>
      </c>
      <c r="E41" s="318">
        <f>+D41+C41</f>
        <v>250</v>
      </c>
      <c r="F41" s="231">
        <f t="shared" ref="F41:Q41" si="18">SUM(F40:F40)</f>
        <v>0</v>
      </c>
      <c r="G41" s="231">
        <f t="shared" si="18"/>
        <v>0</v>
      </c>
      <c r="H41" s="231">
        <f t="shared" si="18"/>
        <v>0</v>
      </c>
      <c r="I41" s="231">
        <f t="shared" si="18"/>
        <v>0</v>
      </c>
      <c r="J41" s="231">
        <f t="shared" si="18"/>
        <v>0</v>
      </c>
      <c r="K41" s="231">
        <f t="shared" si="18"/>
        <v>0</v>
      </c>
      <c r="L41" s="231">
        <f t="shared" si="18"/>
        <v>0</v>
      </c>
      <c r="M41" s="231">
        <f t="shared" si="18"/>
        <v>0</v>
      </c>
      <c r="N41" s="247">
        <f t="shared" si="18"/>
        <v>0</v>
      </c>
      <c r="O41" s="247">
        <f t="shared" si="18"/>
        <v>0</v>
      </c>
      <c r="P41" s="247">
        <f t="shared" si="18"/>
        <v>0</v>
      </c>
      <c r="Q41" s="247">
        <f t="shared" si="18"/>
        <v>0</v>
      </c>
      <c r="R41" s="314">
        <f t="shared" si="7"/>
        <v>0</v>
      </c>
      <c r="S41" s="308">
        <f>+E41-R41</f>
        <v>250</v>
      </c>
      <c r="T41" s="29"/>
      <c r="U41" s="285">
        <f>+ROUND(R41*Inflation_Rate,0)</f>
        <v>0</v>
      </c>
    </row>
    <row r="42" spans="1:22" ht="13.8" x14ac:dyDescent="0.25">
      <c r="A42" s="15" t="s">
        <v>283</v>
      </c>
      <c r="B42" s="83" t="s">
        <v>153</v>
      </c>
      <c r="D42" s="243"/>
      <c r="R42" s="268">
        <f t="shared" si="7"/>
        <v>0</v>
      </c>
      <c r="S42" s="243"/>
    </row>
    <row r="43" spans="1:22" ht="13.8" x14ac:dyDescent="0.25">
      <c r="A43" s="246"/>
      <c r="B43" s="230" t="s">
        <v>338</v>
      </c>
      <c r="C43" s="320">
        <f>+'BudgerandActual Spend 24-25'!I28</f>
        <v>1700</v>
      </c>
      <c r="D43" s="321">
        <f>+'Spend Jan-Mar25'!H77</f>
        <v>0</v>
      </c>
      <c r="E43" s="318">
        <f>+D43+C43</f>
        <v>1700</v>
      </c>
      <c r="F43" s="231">
        <f t="shared" ref="F43:Q43" si="19">SUM(F42:F42)</f>
        <v>0</v>
      </c>
      <c r="G43" s="231">
        <f t="shared" si="19"/>
        <v>0</v>
      </c>
      <c r="H43" s="231">
        <f t="shared" si="19"/>
        <v>0</v>
      </c>
      <c r="I43" s="231">
        <f t="shared" si="19"/>
        <v>0</v>
      </c>
      <c r="J43" s="231">
        <f t="shared" si="19"/>
        <v>0</v>
      </c>
      <c r="K43" s="231">
        <f t="shared" si="19"/>
        <v>0</v>
      </c>
      <c r="L43" s="231">
        <f t="shared" si="19"/>
        <v>0</v>
      </c>
      <c r="M43" s="231">
        <f t="shared" si="19"/>
        <v>0</v>
      </c>
      <c r="N43" s="247">
        <f t="shared" si="19"/>
        <v>0</v>
      </c>
      <c r="O43" s="247">
        <f t="shared" si="19"/>
        <v>0</v>
      </c>
      <c r="P43" s="247">
        <f t="shared" si="19"/>
        <v>0</v>
      </c>
      <c r="Q43" s="247">
        <f t="shared" si="19"/>
        <v>0</v>
      </c>
      <c r="R43" s="314">
        <f t="shared" si="7"/>
        <v>0</v>
      </c>
      <c r="S43" s="308">
        <f>+E43-R43</f>
        <v>1700</v>
      </c>
      <c r="T43" s="29"/>
      <c r="U43" s="292">
        <f>+ROUND(1700,0)*Inflation_Rate</f>
        <v>1768</v>
      </c>
    </row>
    <row r="44" spans="1:22" ht="13.8" x14ac:dyDescent="0.25">
      <c r="A44" s="257" t="s">
        <v>284</v>
      </c>
      <c r="B44" s="83" t="s">
        <v>243</v>
      </c>
      <c r="G44" s="211">
        <v>6805.2</v>
      </c>
      <c r="R44" s="268">
        <f t="shared" si="7"/>
        <v>6805.2</v>
      </c>
      <c r="S44" s="243"/>
      <c r="T44" s="15" t="s">
        <v>302</v>
      </c>
    </row>
    <row r="45" spans="1:22" ht="13.8" x14ac:dyDescent="0.25">
      <c r="A45" s="257" t="s">
        <v>284</v>
      </c>
      <c r="B45" s="83" t="s">
        <v>294</v>
      </c>
      <c r="J45" s="211">
        <v>781.68</v>
      </c>
      <c r="R45" s="268">
        <f t="shared" ref="R45:R47" si="20">SUM(F45:Q45)</f>
        <v>781.68</v>
      </c>
      <c r="S45" s="243"/>
    </row>
    <row r="46" spans="1:22" ht="13.8" x14ac:dyDescent="0.25">
      <c r="A46" s="257" t="s">
        <v>284</v>
      </c>
      <c r="B46" s="83" t="s">
        <v>248</v>
      </c>
      <c r="I46" s="211">
        <v>13968</v>
      </c>
      <c r="R46" s="268">
        <f t="shared" si="20"/>
        <v>13968</v>
      </c>
      <c r="S46" s="243"/>
    </row>
    <row r="47" spans="1:22" ht="13.8" x14ac:dyDescent="0.25">
      <c r="A47" s="296"/>
      <c r="B47" s="83" t="s">
        <v>317</v>
      </c>
      <c r="L47" s="287">
        <f>((SUM(F44:L46)*0.166)*-1)-SUM(F47:K47)</f>
        <v>-3578.1100800000004</v>
      </c>
      <c r="Q47" s="210">
        <f>((SUM(R44:R46)*0.166)*-1)-SUM(F47:P47)</f>
        <v>0</v>
      </c>
      <c r="R47" s="268">
        <f t="shared" si="20"/>
        <v>-3578.1100800000004</v>
      </c>
      <c r="S47" s="243"/>
    </row>
    <row r="48" spans="1:22" ht="13.8" x14ac:dyDescent="0.25">
      <c r="A48" s="246" t="s">
        <v>284</v>
      </c>
      <c r="B48" s="230" t="s">
        <v>339</v>
      </c>
      <c r="C48" s="320">
        <f>+'BudgerandActual Spend 24-25'!I32</f>
        <v>15000</v>
      </c>
      <c r="D48" s="319">
        <f>+'Spend Jan-Mar25'!H90</f>
        <v>500</v>
      </c>
      <c r="E48" s="318">
        <f>+D48+C48</f>
        <v>15500</v>
      </c>
      <c r="F48" s="231">
        <f>SUM(F44:F47)</f>
        <v>0</v>
      </c>
      <c r="G48" s="231">
        <f>SUM(G44:G47)</f>
        <v>6805.2</v>
      </c>
      <c r="H48" s="231">
        <f>SUM(H44:H47)</f>
        <v>0</v>
      </c>
      <c r="I48" s="231">
        <f>SUM(I44:I47)</f>
        <v>13968</v>
      </c>
      <c r="J48" s="231">
        <f>SUM(J44:J47)</f>
        <v>781.68</v>
      </c>
      <c r="K48" s="231">
        <f t="shared" ref="K48:P48" si="21">SUM(K44:K47)</f>
        <v>0</v>
      </c>
      <c r="L48" s="231">
        <f t="shared" si="21"/>
        <v>-3578.1100800000004</v>
      </c>
      <c r="M48" s="231">
        <f t="shared" si="21"/>
        <v>0</v>
      </c>
      <c r="N48" s="247">
        <f t="shared" si="21"/>
        <v>0</v>
      </c>
      <c r="O48" s="247">
        <f t="shared" si="21"/>
        <v>0</v>
      </c>
      <c r="P48" s="247">
        <f t="shared" si="21"/>
        <v>0</v>
      </c>
      <c r="Q48" s="247">
        <f>SUM(Q44:Q47)</f>
        <v>0</v>
      </c>
      <c r="R48" s="314">
        <f>SUM(F48:Q48)</f>
        <v>17976.769919999999</v>
      </c>
      <c r="S48" s="308">
        <f>+E48-R48</f>
        <v>-2476.7699199999988</v>
      </c>
      <c r="T48" s="29"/>
      <c r="U48" s="292">
        <v>2000</v>
      </c>
      <c r="V48" s="15" t="s">
        <v>316</v>
      </c>
    </row>
    <row r="49" spans="1:24" ht="13.8" x14ac:dyDescent="0.25">
      <c r="A49" s="259" t="s">
        <v>281</v>
      </c>
      <c r="B49" s="83" t="s">
        <v>26</v>
      </c>
      <c r="M49" s="211">
        <v>184</v>
      </c>
      <c r="R49" s="268">
        <f t="shared" ref="R49:R50" si="22">SUM(F49:Q49)</f>
        <v>184</v>
      </c>
    </row>
    <row r="50" spans="1:24" ht="13.8" x14ac:dyDescent="0.25">
      <c r="A50" s="259" t="s">
        <v>281</v>
      </c>
      <c r="B50" s="202" t="s">
        <v>247</v>
      </c>
      <c r="C50" s="254"/>
      <c r="D50" s="254"/>
      <c r="E50" s="254"/>
      <c r="F50" s="255"/>
      <c r="G50" s="255"/>
      <c r="H50" s="255"/>
      <c r="I50" s="249">
        <v>25</v>
      </c>
      <c r="J50" s="255"/>
      <c r="K50" s="277"/>
      <c r="R50" s="268">
        <f t="shared" si="22"/>
        <v>25</v>
      </c>
    </row>
    <row r="51" spans="1:24" ht="13.8" x14ac:dyDescent="0.25">
      <c r="A51" s="246" t="s">
        <v>281</v>
      </c>
      <c r="B51" s="230" t="s">
        <v>340</v>
      </c>
      <c r="C51" s="320">
        <f>+'BudgerandActual Spend 24-25'!I36</f>
        <v>260</v>
      </c>
      <c r="D51" s="319">
        <f>+'Spend Jan-Mar25'!H102</f>
        <v>-40</v>
      </c>
      <c r="E51" s="318">
        <f>+D51+C51</f>
        <v>220</v>
      </c>
      <c r="F51" s="231">
        <f t="shared" ref="F51" si="23">SUM(F49:F49)</f>
        <v>0</v>
      </c>
      <c r="G51" s="231">
        <f t="shared" ref="G51:H51" si="24">SUM(G49:G50)</f>
        <v>0</v>
      </c>
      <c r="H51" s="231">
        <f t="shared" si="24"/>
        <v>0</v>
      </c>
      <c r="I51" s="231">
        <f>SUM(I49:I50)</f>
        <v>25</v>
      </c>
      <c r="J51" s="231">
        <f>SUM(J49:J50)</f>
        <v>0</v>
      </c>
      <c r="K51" s="231">
        <f>SUM(K49:K50)</f>
        <v>0</v>
      </c>
      <c r="L51" s="231">
        <f t="shared" ref="L51:Q51" si="25">SUM(L49:L50)</f>
        <v>0</v>
      </c>
      <c r="M51" s="231">
        <f t="shared" si="25"/>
        <v>184</v>
      </c>
      <c r="N51" s="247">
        <f t="shared" si="25"/>
        <v>0</v>
      </c>
      <c r="O51" s="247">
        <f t="shared" si="25"/>
        <v>0</v>
      </c>
      <c r="P51" s="247">
        <f t="shared" si="25"/>
        <v>0</v>
      </c>
      <c r="Q51" s="247">
        <f t="shared" si="25"/>
        <v>0</v>
      </c>
      <c r="R51" s="314">
        <f>SUM(F51:Q51)</f>
        <v>209</v>
      </c>
      <c r="S51" s="232">
        <f>+E51-R51</f>
        <v>11</v>
      </c>
      <c r="T51" s="29"/>
      <c r="U51" s="285">
        <f>+ROUND(R51*Inflation_Rate,0)</f>
        <v>217</v>
      </c>
    </row>
    <row r="52" spans="1:24" ht="12.6" customHeight="1" x14ac:dyDescent="0.25">
      <c r="A52" s="199" t="s">
        <v>358</v>
      </c>
      <c r="B52" s="199"/>
      <c r="C52" s="115">
        <f t="shared" ref="C52:S52" si="26">+C5+C7+C11+C16+C20+C25+C27+C29+C32+C34+C37+C41+C43+C48+C51+C39</f>
        <v>35479.199999999997</v>
      </c>
      <c r="D52" s="115">
        <f t="shared" si="26"/>
        <v>-225.30000000000018</v>
      </c>
      <c r="E52" s="115">
        <f t="shared" si="26"/>
        <v>35253.9</v>
      </c>
      <c r="F52" s="115">
        <f t="shared" si="26"/>
        <v>1473.06</v>
      </c>
      <c r="G52" s="115">
        <f t="shared" si="26"/>
        <v>8562.619999999999</v>
      </c>
      <c r="H52" s="115">
        <f t="shared" si="26"/>
        <v>761.16</v>
      </c>
      <c r="I52" s="115">
        <f t="shared" si="26"/>
        <v>15623.41</v>
      </c>
      <c r="J52" s="115">
        <f t="shared" si="26"/>
        <v>2105.34</v>
      </c>
      <c r="K52" s="115">
        <f t="shared" si="26"/>
        <v>913.58</v>
      </c>
      <c r="L52" s="115">
        <f t="shared" si="26"/>
        <v>-2007.2994200000005</v>
      </c>
      <c r="M52" s="115">
        <f t="shared" si="26"/>
        <v>1004.5</v>
      </c>
      <c r="N52" s="115">
        <f t="shared" si="26"/>
        <v>1445.5</v>
      </c>
      <c r="O52" s="115">
        <f t="shared" si="26"/>
        <v>1580.5</v>
      </c>
      <c r="P52" s="115">
        <f t="shared" si="26"/>
        <v>920.5</v>
      </c>
      <c r="Q52" s="115">
        <f t="shared" si="26"/>
        <v>1759.5149999999999</v>
      </c>
      <c r="R52" s="200">
        <f t="shared" si="26"/>
        <v>34142.385579999995</v>
      </c>
      <c r="S52" s="115">
        <f t="shared" si="26"/>
        <v>1111.5144200000059</v>
      </c>
      <c r="T52" s="115"/>
      <c r="U52" s="200">
        <f>SUM(U5:U51)</f>
        <v>23749</v>
      </c>
    </row>
    <row r="53" spans="1:24" ht="12.6" customHeight="1" x14ac:dyDescent="0.25"/>
    <row r="54" spans="1:24" ht="27.6" customHeight="1" x14ac:dyDescent="0.25">
      <c r="A54" s="329" t="s">
        <v>341</v>
      </c>
      <c r="B54" s="329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</row>
    <row r="55" spans="1:24" ht="13.8" x14ac:dyDescent="0.25">
      <c r="A55" s="257" t="s">
        <v>282</v>
      </c>
      <c r="B55" s="83" t="s">
        <v>292</v>
      </c>
      <c r="J55" s="211">
        <v>980.4</v>
      </c>
      <c r="R55" s="268">
        <f t="shared" ref="R55:R71" si="27">SUM(F55:Q55)</f>
        <v>980.4</v>
      </c>
      <c r="X55" s="6">
        <v>5166.8900000000003</v>
      </c>
    </row>
    <row r="56" spans="1:24" ht="13.8" x14ac:dyDescent="0.25">
      <c r="A56" s="296"/>
      <c r="B56" s="83" t="s">
        <v>317</v>
      </c>
      <c r="L56" s="287">
        <f>((SUM(F55:L55)*0.166)*-1)-SUM(F56:K56)</f>
        <v>-162.74639999999999</v>
      </c>
      <c r="Q56" s="210">
        <f>((SUM(R55)*0.166)*-1)-SUM(F56:P56)</f>
        <v>0</v>
      </c>
      <c r="R56" s="268">
        <f t="shared" si="27"/>
        <v>-162.74639999999999</v>
      </c>
    </row>
    <row r="57" spans="1:24" ht="13.8" x14ac:dyDescent="0.25">
      <c r="A57" s="246"/>
      <c r="B57" s="230" t="s">
        <v>342</v>
      </c>
      <c r="C57" s="320">
        <f>+'BudgerandActual Spend 24-25'!I23</f>
        <v>833</v>
      </c>
      <c r="D57" s="319">
        <f>+'Spend Jan-Mar25'!H62</f>
        <v>800</v>
      </c>
      <c r="E57" s="318">
        <f>+D57+C57</f>
        <v>1633</v>
      </c>
      <c r="F57" s="231">
        <f t="shared" ref="F57" si="28">SUM(F55:F56)</f>
        <v>0</v>
      </c>
      <c r="G57" s="231">
        <f t="shared" ref="G57" si="29">SUM(G55:G56)</f>
        <v>0</v>
      </c>
      <c r="H57" s="231">
        <f t="shared" ref="H57" si="30">SUM(H55:H56)</f>
        <v>0</v>
      </c>
      <c r="I57" s="231">
        <f t="shared" ref="I57" si="31">SUM(I55:I56)</f>
        <v>0</v>
      </c>
      <c r="J57" s="231">
        <f t="shared" ref="J57" si="32">SUM(J55:J56)</f>
        <v>980.4</v>
      </c>
      <c r="K57" s="231">
        <f t="shared" ref="K57:P57" si="33">SUM(K55:K56)</f>
        <v>0</v>
      </c>
      <c r="L57" s="231">
        <f t="shared" si="33"/>
        <v>-162.74639999999999</v>
      </c>
      <c r="M57" s="231">
        <f t="shared" si="33"/>
        <v>0</v>
      </c>
      <c r="N57" s="247">
        <f t="shared" si="33"/>
        <v>0</v>
      </c>
      <c r="O57" s="247">
        <f t="shared" si="33"/>
        <v>0</v>
      </c>
      <c r="P57" s="247">
        <f t="shared" si="33"/>
        <v>0</v>
      </c>
      <c r="Q57" s="247">
        <f>SUM(Q55:Q56)</f>
        <v>0</v>
      </c>
      <c r="R57" s="314">
        <f t="shared" si="27"/>
        <v>817.65359999999998</v>
      </c>
      <c r="S57" s="308">
        <f>+E57-R57</f>
        <v>815.34640000000002</v>
      </c>
      <c r="T57" s="29"/>
      <c r="U57" s="285">
        <f>+ROUND(R57*Inflation_Rate,0)</f>
        <v>850</v>
      </c>
    </row>
    <row r="58" spans="1:24" ht="13.8" x14ac:dyDescent="0.25">
      <c r="A58" s="259" t="s">
        <v>282</v>
      </c>
      <c r="B58" s="83" t="s">
        <v>7</v>
      </c>
      <c r="N58" s="210">
        <v>250</v>
      </c>
      <c r="R58" s="268">
        <f t="shared" si="27"/>
        <v>250</v>
      </c>
      <c r="S58" s="243"/>
      <c r="T58" t="s">
        <v>293</v>
      </c>
    </row>
    <row r="59" spans="1:24" ht="13.8" x14ac:dyDescent="0.25">
      <c r="A59" s="246"/>
      <c r="B59" s="230" t="s">
        <v>343</v>
      </c>
      <c r="C59" s="320">
        <f>+'BudgerandActual Spend 24-25'!I24</f>
        <v>250</v>
      </c>
      <c r="D59" s="319">
        <f>+'Spend Jan-Mar25'!H65</f>
        <v>0</v>
      </c>
      <c r="E59" s="318">
        <f>+D59+C59</f>
        <v>250</v>
      </c>
      <c r="F59" s="231">
        <f t="shared" ref="F59:Q59" si="34">SUM(F58:F58)</f>
        <v>0</v>
      </c>
      <c r="G59" s="231">
        <f t="shared" si="34"/>
        <v>0</v>
      </c>
      <c r="H59" s="231">
        <f t="shared" si="34"/>
        <v>0</v>
      </c>
      <c r="I59" s="231">
        <f t="shared" si="34"/>
        <v>0</v>
      </c>
      <c r="J59" s="231">
        <f t="shared" si="34"/>
        <v>0</v>
      </c>
      <c r="K59" s="231">
        <f t="shared" si="34"/>
        <v>0</v>
      </c>
      <c r="L59" s="231">
        <f t="shared" si="34"/>
        <v>0</v>
      </c>
      <c r="M59" s="231">
        <f t="shared" si="34"/>
        <v>0</v>
      </c>
      <c r="N59" s="247">
        <f t="shared" si="34"/>
        <v>250</v>
      </c>
      <c r="O59" s="247">
        <f t="shared" si="34"/>
        <v>0</v>
      </c>
      <c r="P59" s="247">
        <f t="shared" si="34"/>
        <v>0</v>
      </c>
      <c r="Q59" s="247">
        <f t="shared" si="34"/>
        <v>0</v>
      </c>
      <c r="R59" s="314">
        <f t="shared" si="27"/>
        <v>250</v>
      </c>
      <c r="S59" s="308">
        <f>+E59-R59</f>
        <v>0</v>
      </c>
      <c r="T59" s="29"/>
      <c r="U59" s="285">
        <f>+ROUND(R59*Inflation_Rate,0)</f>
        <v>260</v>
      </c>
    </row>
    <row r="60" spans="1:24" ht="13.8" x14ac:dyDescent="0.25">
      <c r="A60" s="259" t="s">
        <v>282</v>
      </c>
      <c r="B60" s="83" t="s">
        <v>13</v>
      </c>
      <c r="N60" s="210">
        <v>25</v>
      </c>
      <c r="R60" s="268">
        <f t="shared" si="27"/>
        <v>25</v>
      </c>
      <c r="S60" s="243"/>
      <c r="U60" s="271"/>
    </row>
    <row r="61" spans="1:24" ht="13.8" x14ac:dyDescent="0.25">
      <c r="A61" s="246"/>
      <c r="B61" s="230" t="s">
        <v>344</v>
      </c>
      <c r="C61" s="320">
        <f>+'BudgerandActual Spend 24-25'!I25</f>
        <v>31</v>
      </c>
      <c r="D61" s="319">
        <f>+'Spend Jan-Mar25'!H68</f>
        <v>0</v>
      </c>
      <c r="E61" s="318">
        <f>+D61+C61</f>
        <v>31</v>
      </c>
      <c r="F61" s="231">
        <f t="shared" ref="F61:Q61" si="35">SUM(F60:F60)</f>
        <v>0</v>
      </c>
      <c r="G61" s="231">
        <f t="shared" si="35"/>
        <v>0</v>
      </c>
      <c r="H61" s="231">
        <f t="shared" si="35"/>
        <v>0</v>
      </c>
      <c r="I61" s="231">
        <f t="shared" si="35"/>
        <v>0</v>
      </c>
      <c r="J61" s="231">
        <f t="shared" si="35"/>
        <v>0</v>
      </c>
      <c r="K61" s="231">
        <f t="shared" si="35"/>
        <v>0</v>
      </c>
      <c r="L61" s="231">
        <f t="shared" si="35"/>
        <v>0</v>
      </c>
      <c r="M61" s="231">
        <f t="shared" si="35"/>
        <v>0</v>
      </c>
      <c r="N61" s="247">
        <f t="shared" si="35"/>
        <v>25</v>
      </c>
      <c r="O61" s="247">
        <f t="shared" si="35"/>
        <v>0</v>
      </c>
      <c r="P61" s="247">
        <f t="shared" si="35"/>
        <v>0</v>
      </c>
      <c r="Q61" s="247">
        <f t="shared" si="35"/>
        <v>0</v>
      </c>
      <c r="R61" s="314">
        <f t="shared" si="27"/>
        <v>25</v>
      </c>
      <c r="S61" s="308">
        <f>+E61-R61</f>
        <v>6</v>
      </c>
      <c r="T61" s="29"/>
      <c r="U61" s="285">
        <f>+ROUND(R61*Inflation_Rate,0)</f>
        <v>26</v>
      </c>
    </row>
    <row r="62" spans="1:24" ht="13.8" x14ac:dyDescent="0.25">
      <c r="A62" s="260" t="s">
        <v>282</v>
      </c>
      <c r="B62" s="83" t="s">
        <v>15</v>
      </c>
      <c r="N62" s="210">
        <v>260</v>
      </c>
      <c r="R62" s="268">
        <f t="shared" si="27"/>
        <v>260</v>
      </c>
      <c r="S62" s="243"/>
      <c r="U62" s="271"/>
    </row>
    <row r="63" spans="1:24" ht="13.8" x14ac:dyDescent="0.25">
      <c r="A63" s="246"/>
      <c r="B63" s="230" t="s">
        <v>345</v>
      </c>
      <c r="C63" s="320">
        <f>+'BudgerandActual Spend 24-25'!I26</f>
        <v>260</v>
      </c>
      <c r="D63" s="319">
        <f>+'Spend Jan-Mar25'!H71</f>
        <v>0</v>
      </c>
      <c r="E63" s="318">
        <f>+D63+C63</f>
        <v>260</v>
      </c>
      <c r="F63" s="231">
        <f t="shared" ref="F63:Q63" si="36">SUM(F62:F62)</f>
        <v>0</v>
      </c>
      <c r="G63" s="231">
        <f t="shared" si="36"/>
        <v>0</v>
      </c>
      <c r="H63" s="231">
        <f t="shared" si="36"/>
        <v>0</v>
      </c>
      <c r="I63" s="231">
        <f t="shared" si="36"/>
        <v>0</v>
      </c>
      <c r="J63" s="231">
        <f t="shared" si="36"/>
        <v>0</v>
      </c>
      <c r="K63" s="231">
        <f t="shared" si="36"/>
        <v>0</v>
      </c>
      <c r="L63" s="231">
        <f t="shared" si="36"/>
        <v>0</v>
      </c>
      <c r="M63" s="231">
        <f t="shared" si="36"/>
        <v>0</v>
      </c>
      <c r="N63" s="247">
        <f t="shared" si="36"/>
        <v>260</v>
      </c>
      <c r="O63" s="247">
        <f t="shared" si="36"/>
        <v>0</v>
      </c>
      <c r="P63" s="247">
        <f t="shared" si="36"/>
        <v>0</v>
      </c>
      <c r="Q63" s="247">
        <f t="shared" si="36"/>
        <v>0</v>
      </c>
      <c r="R63" s="314">
        <f t="shared" si="27"/>
        <v>260</v>
      </c>
      <c r="S63" s="308">
        <f>+E63-R63</f>
        <v>0</v>
      </c>
      <c r="T63" s="29"/>
      <c r="U63" s="285">
        <f>+ROUND(R63*Inflation_Rate,0)</f>
        <v>270</v>
      </c>
    </row>
    <row r="64" spans="1:24" ht="13.8" x14ac:dyDescent="0.25">
      <c r="A64" s="259" t="s">
        <v>282</v>
      </c>
      <c r="B64" s="83" t="s">
        <v>20</v>
      </c>
      <c r="I64" s="211">
        <v>500</v>
      </c>
      <c r="R64" s="268">
        <f t="shared" si="27"/>
        <v>500</v>
      </c>
      <c r="S64" s="243"/>
      <c r="U64" s="271"/>
    </row>
    <row r="65" spans="1:22" ht="13.8" x14ac:dyDescent="0.25">
      <c r="A65" s="246"/>
      <c r="B65" s="230" t="s">
        <v>346</v>
      </c>
      <c r="C65" s="320">
        <f>+'BudgerandActual Spend 24-25'!I27</f>
        <v>521</v>
      </c>
      <c r="D65" s="319">
        <f>+'Spend Jan-Mar25'!H74</f>
        <v>0</v>
      </c>
      <c r="E65" s="318">
        <f>+D65+C65</f>
        <v>521</v>
      </c>
      <c r="F65" s="231">
        <f t="shared" ref="F65:Q65" si="37">SUM(F64:F64)</f>
        <v>0</v>
      </c>
      <c r="G65" s="231">
        <f t="shared" si="37"/>
        <v>0</v>
      </c>
      <c r="H65" s="231">
        <f t="shared" si="37"/>
        <v>0</v>
      </c>
      <c r="I65" s="231">
        <f t="shared" si="37"/>
        <v>500</v>
      </c>
      <c r="J65" s="231">
        <f t="shared" si="37"/>
        <v>0</v>
      </c>
      <c r="K65" s="231">
        <f t="shared" si="37"/>
        <v>0</v>
      </c>
      <c r="L65" s="231">
        <f t="shared" si="37"/>
        <v>0</v>
      </c>
      <c r="M65" s="231">
        <f t="shared" si="37"/>
        <v>0</v>
      </c>
      <c r="N65" s="247">
        <f t="shared" si="37"/>
        <v>0</v>
      </c>
      <c r="O65" s="247">
        <f t="shared" si="37"/>
        <v>0</v>
      </c>
      <c r="P65" s="247">
        <f t="shared" si="37"/>
        <v>0</v>
      </c>
      <c r="Q65" s="247">
        <f t="shared" si="37"/>
        <v>0</v>
      </c>
      <c r="R65" s="314">
        <f t="shared" si="27"/>
        <v>500</v>
      </c>
      <c r="S65" s="308">
        <f>+E65-R65</f>
        <v>21</v>
      </c>
      <c r="T65" s="29"/>
      <c r="U65" s="285">
        <f>+ROUND(R65*Inflation_Rate,0)</f>
        <v>520</v>
      </c>
    </row>
    <row r="66" spans="1:22" ht="13.8" x14ac:dyDescent="0.25">
      <c r="A66" s="259" t="s">
        <v>282</v>
      </c>
      <c r="B66" s="83" t="s">
        <v>154</v>
      </c>
      <c r="N66" s="210">
        <v>260</v>
      </c>
      <c r="R66" s="268">
        <f t="shared" si="27"/>
        <v>260</v>
      </c>
      <c r="U66" s="271"/>
    </row>
    <row r="67" spans="1:22" ht="13.8" x14ac:dyDescent="0.25">
      <c r="A67" s="246" t="s">
        <v>282</v>
      </c>
      <c r="B67" s="230" t="s">
        <v>347</v>
      </c>
      <c r="C67" s="320">
        <f>+'BudgerandActual Spend 24-25'!I29</f>
        <v>260</v>
      </c>
      <c r="D67" s="319">
        <f>+'Spend Jan-Mar25'!H80</f>
        <v>0</v>
      </c>
      <c r="E67" s="318">
        <f>+D67+C67</f>
        <v>260</v>
      </c>
      <c r="F67" s="231">
        <f t="shared" ref="F67:Q67" si="38">SUM(F66:F66)</f>
        <v>0</v>
      </c>
      <c r="G67" s="231">
        <f t="shared" si="38"/>
        <v>0</v>
      </c>
      <c r="H67" s="231">
        <f t="shared" si="38"/>
        <v>0</v>
      </c>
      <c r="I67" s="231">
        <f t="shared" si="38"/>
        <v>0</v>
      </c>
      <c r="J67" s="231">
        <f t="shared" si="38"/>
        <v>0</v>
      </c>
      <c r="K67" s="231">
        <f t="shared" si="38"/>
        <v>0</v>
      </c>
      <c r="L67" s="231">
        <f t="shared" si="38"/>
        <v>0</v>
      </c>
      <c r="M67" s="231">
        <f t="shared" si="38"/>
        <v>0</v>
      </c>
      <c r="N67" s="247">
        <f t="shared" si="38"/>
        <v>260</v>
      </c>
      <c r="O67" s="247">
        <f t="shared" si="38"/>
        <v>0</v>
      </c>
      <c r="P67" s="247">
        <f t="shared" si="38"/>
        <v>0</v>
      </c>
      <c r="Q67" s="247">
        <f t="shared" si="38"/>
        <v>0</v>
      </c>
      <c r="R67" s="314">
        <f t="shared" si="27"/>
        <v>260</v>
      </c>
      <c r="S67" s="308">
        <f>+E67-R67</f>
        <v>0</v>
      </c>
      <c r="T67" s="29"/>
      <c r="U67" s="285">
        <f>+ROUND(R67*Inflation_Rate,0)</f>
        <v>270</v>
      </c>
    </row>
    <row r="68" spans="1:22" ht="13.8" x14ac:dyDescent="0.25">
      <c r="A68" s="257" t="s">
        <v>282</v>
      </c>
      <c r="B68" s="83" t="s">
        <v>299</v>
      </c>
      <c r="Q68" s="210">
        <v>500</v>
      </c>
      <c r="R68" s="268">
        <f t="shared" si="27"/>
        <v>500</v>
      </c>
      <c r="U68" s="271"/>
    </row>
    <row r="69" spans="1:22" ht="13.8" x14ac:dyDescent="0.25">
      <c r="A69" s="296"/>
      <c r="B69" s="83" t="s">
        <v>317</v>
      </c>
      <c r="L69" s="287">
        <f>((SUM(F68:L68)*0.166)*-1)-SUM(F69:K69)</f>
        <v>0</v>
      </c>
      <c r="Q69" s="210">
        <f>((SUM(R68)*0.166)*-1)-SUM(F69:P69)</f>
        <v>-83</v>
      </c>
      <c r="R69" s="268">
        <f t="shared" si="27"/>
        <v>-83</v>
      </c>
      <c r="U69" s="271"/>
    </row>
    <row r="70" spans="1:22" ht="13.8" x14ac:dyDescent="0.25">
      <c r="A70" s="246" t="s">
        <v>282</v>
      </c>
      <c r="B70" s="230" t="s">
        <v>348</v>
      </c>
      <c r="C70" s="320">
        <f>+'BudgerandActual Spend 24-25'!I31</f>
        <v>500</v>
      </c>
      <c r="D70" s="319">
        <f>+'Spend Jan-Mar25'!H86</f>
        <v>0</v>
      </c>
      <c r="E70" s="318">
        <f>+D70+C70</f>
        <v>500</v>
      </c>
      <c r="F70" s="231">
        <f t="shared" ref="F70" si="39">SUM(F68:F69)</f>
        <v>0</v>
      </c>
      <c r="G70" s="231">
        <f t="shared" ref="G70" si="40">SUM(G68:G69)</f>
        <v>0</v>
      </c>
      <c r="H70" s="231">
        <f t="shared" ref="H70" si="41">SUM(H68:H69)</f>
        <v>0</v>
      </c>
      <c r="I70" s="231">
        <f t="shared" ref="I70" si="42">SUM(I68:I69)</f>
        <v>0</v>
      </c>
      <c r="J70" s="231">
        <f t="shared" ref="J70" si="43">SUM(J68:J69)</f>
        <v>0</v>
      </c>
      <c r="K70" s="231">
        <f t="shared" ref="K70" si="44">SUM(K68:K69)</f>
        <v>0</v>
      </c>
      <c r="L70" s="231">
        <f t="shared" ref="L70" si="45">SUM(L68:L69)</f>
        <v>0</v>
      </c>
      <c r="M70" s="231">
        <f t="shared" ref="M70" si="46">SUM(M68:M69)</f>
        <v>0</v>
      </c>
      <c r="N70" s="247">
        <f t="shared" ref="N70" si="47">SUM(N68:N69)</f>
        <v>0</v>
      </c>
      <c r="O70" s="247">
        <f t="shared" ref="O70" si="48">SUM(O68:O69)</f>
        <v>0</v>
      </c>
      <c r="P70" s="247">
        <f t="shared" ref="P70" si="49">SUM(P68:P69)</f>
        <v>0</v>
      </c>
      <c r="Q70" s="247">
        <f>SUM(Q68:Q69)</f>
        <v>417</v>
      </c>
      <c r="R70" s="314">
        <f t="shared" si="27"/>
        <v>417</v>
      </c>
      <c r="S70" s="308">
        <f>+E70-R70</f>
        <v>83</v>
      </c>
      <c r="T70" s="29"/>
      <c r="U70" s="285">
        <f>+ROUND(R70*Inflation_Rate,0)</f>
        <v>434</v>
      </c>
    </row>
    <row r="71" spans="1:22" ht="13.8" x14ac:dyDescent="0.25">
      <c r="A71" s="257" t="s">
        <v>282</v>
      </c>
      <c r="B71" s="83" t="s">
        <v>23</v>
      </c>
      <c r="F71" s="258">
        <v>18.23</v>
      </c>
      <c r="G71" s="211">
        <v>17.64</v>
      </c>
      <c r="J71" s="211">
        <v>54.23</v>
      </c>
      <c r="N71" s="210">
        <v>19</v>
      </c>
      <c r="O71" s="210">
        <v>19</v>
      </c>
      <c r="P71" s="210">
        <v>19</v>
      </c>
      <c r="Q71" s="210">
        <v>19</v>
      </c>
      <c r="R71" s="268">
        <f t="shared" si="27"/>
        <v>166.1</v>
      </c>
      <c r="U71" s="271"/>
    </row>
    <row r="72" spans="1:22" ht="13.8" x14ac:dyDescent="0.25">
      <c r="A72" s="296"/>
      <c r="B72" s="83" t="s">
        <v>317</v>
      </c>
      <c r="L72" s="287">
        <f>((SUM(F71:L71)*0.166)*-1)-SUM(F72:K72)</f>
        <v>-14.9566</v>
      </c>
      <c r="Q72" s="210">
        <f>((SUM(R71)*0.166)*-1)-SUM(F72:P72)</f>
        <v>-12.616000000000001</v>
      </c>
      <c r="R72" s="268">
        <f t="shared" ref="R72:R73" si="50">SUM(F72:Q72)</f>
        <v>-27.572600000000001</v>
      </c>
      <c r="U72" s="271"/>
    </row>
    <row r="73" spans="1:22" ht="13.8" x14ac:dyDescent="0.25">
      <c r="A73" s="246" t="s">
        <v>282</v>
      </c>
      <c r="B73" s="230" t="s">
        <v>349</v>
      </c>
      <c r="C73" s="320">
        <f>+'BudgerandActual Spend 24-25'!I34</f>
        <v>235</v>
      </c>
      <c r="D73" s="319">
        <f>+'Spend Jan-Mar25'!H96</f>
        <v>-25.620000000000005</v>
      </c>
      <c r="E73" s="318">
        <f>+D73+C73</f>
        <v>209.38</v>
      </c>
      <c r="F73" s="231">
        <f t="shared" ref="F73" si="51">SUM(F71:F72)</f>
        <v>18.23</v>
      </c>
      <c r="G73" s="231">
        <f t="shared" ref="G73" si="52">SUM(G71:G72)</f>
        <v>17.64</v>
      </c>
      <c r="H73" s="231">
        <f t="shared" ref="H73" si="53">SUM(H71:H72)</f>
        <v>0</v>
      </c>
      <c r="I73" s="231">
        <f t="shared" ref="I73" si="54">SUM(I71:I72)</f>
        <v>0</v>
      </c>
      <c r="J73" s="231">
        <f t="shared" ref="J73" si="55">SUM(J71:J72)</f>
        <v>54.23</v>
      </c>
      <c r="K73" s="231">
        <f t="shared" ref="K73" si="56">SUM(K71:K72)</f>
        <v>0</v>
      </c>
      <c r="L73" s="231">
        <f t="shared" ref="L73" si="57">SUM(L71:L72)</f>
        <v>-14.9566</v>
      </c>
      <c r="M73" s="231">
        <v>0</v>
      </c>
      <c r="N73" s="247">
        <f t="shared" ref="N73" si="58">SUM(N71:N72)</f>
        <v>19</v>
      </c>
      <c r="O73" s="247">
        <v>0</v>
      </c>
      <c r="P73" s="247">
        <v>0</v>
      </c>
      <c r="Q73" s="247">
        <f>SUM(Q71:Q72)</f>
        <v>6.3839999999999986</v>
      </c>
      <c r="R73" s="314">
        <f t="shared" si="50"/>
        <v>100.5274</v>
      </c>
      <c r="S73" s="308">
        <f>+E73-R73</f>
        <v>108.8526</v>
      </c>
      <c r="T73" s="29"/>
      <c r="U73" s="285">
        <v>0</v>
      </c>
      <c r="V73" s="15" t="s">
        <v>352</v>
      </c>
    </row>
    <row r="74" spans="1:22" ht="13.8" x14ac:dyDescent="0.25">
      <c r="A74" s="113" t="s">
        <v>350</v>
      </c>
      <c r="B74" s="196"/>
      <c r="C74" s="322">
        <f>+C57+C59+C61+C63+C65+C67+C70+C73</f>
        <v>2890</v>
      </c>
      <c r="D74" s="322">
        <f>+D57+D59+D61+D63+D65+D67+D70+D73</f>
        <v>774.38</v>
      </c>
      <c r="E74" s="323">
        <f t="shared" ref="E74:S74" si="59">+E73+E70+E67+E65+E63+E61+E59+E57</f>
        <v>3664.38</v>
      </c>
      <c r="F74" s="212">
        <f t="shared" si="59"/>
        <v>18.23</v>
      </c>
      <c r="G74" s="212">
        <f t="shared" si="59"/>
        <v>17.64</v>
      </c>
      <c r="H74" s="212">
        <f t="shared" si="59"/>
        <v>0</v>
      </c>
      <c r="I74" s="212">
        <f t="shared" si="59"/>
        <v>500</v>
      </c>
      <c r="J74" s="212">
        <f t="shared" si="59"/>
        <v>1034.6299999999999</v>
      </c>
      <c r="K74" s="212">
        <f t="shared" si="59"/>
        <v>0</v>
      </c>
      <c r="L74" s="212">
        <f t="shared" si="59"/>
        <v>-177.703</v>
      </c>
      <c r="M74" s="212">
        <f t="shared" si="59"/>
        <v>0</v>
      </c>
      <c r="N74" s="212">
        <f t="shared" si="59"/>
        <v>814</v>
      </c>
      <c r="O74" s="212">
        <f t="shared" si="59"/>
        <v>0</v>
      </c>
      <c r="P74" s="212">
        <f t="shared" si="59"/>
        <v>0</v>
      </c>
      <c r="Q74" s="212">
        <f t="shared" si="59"/>
        <v>423.38400000000001</v>
      </c>
      <c r="R74" s="269">
        <f t="shared" si="59"/>
        <v>2630.181</v>
      </c>
      <c r="S74" s="307">
        <f t="shared" si="59"/>
        <v>1034.1990000000001</v>
      </c>
      <c r="T74" s="212"/>
      <c r="U74" s="275">
        <f>+U73+U70+U67+U65+U63+U61+U59+U57</f>
        <v>2630</v>
      </c>
    </row>
    <row r="75" spans="1:22" x14ac:dyDescent="0.25">
      <c r="A75" s="210"/>
      <c r="B75" s="210"/>
      <c r="C75" s="210"/>
      <c r="D75" s="210"/>
      <c r="E75" s="210"/>
      <c r="R75" s="268"/>
      <c r="S75" s="210"/>
    </row>
    <row r="76" spans="1:22" ht="13.8" x14ac:dyDescent="0.25">
      <c r="A76" s="329" t="s">
        <v>378</v>
      </c>
      <c r="B76" s="329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</row>
    <row r="77" spans="1:22" ht="13.8" x14ac:dyDescent="0.25">
      <c r="A77" s="259" t="s">
        <v>300</v>
      </c>
      <c r="B77" s="83" t="s">
        <v>237</v>
      </c>
      <c r="F77" s="258">
        <v>625</v>
      </c>
      <c r="G77" s="211">
        <v>625</v>
      </c>
      <c r="H77" s="211">
        <v>625</v>
      </c>
      <c r="I77" s="211">
        <v>650</v>
      </c>
      <c r="J77" s="211">
        <v>650</v>
      </c>
      <c r="K77" s="211">
        <v>650</v>
      </c>
      <c r="L77" s="211">
        <v>650</v>
      </c>
      <c r="M77" s="211">
        <v>650</v>
      </c>
      <c r="N77" s="210">
        <v>650</v>
      </c>
      <c r="O77" s="210">
        <v>650</v>
      </c>
      <c r="P77" s="210">
        <v>650</v>
      </c>
      <c r="Q77" s="210">
        <v>650</v>
      </c>
      <c r="R77" s="268">
        <f t="shared" ref="R77:R89" si="60">SUM(F77:Q77)</f>
        <v>7725</v>
      </c>
    </row>
    <row r="78" spans="1:22" ht="13.8" x14ac:dyDescent="0.25">
      <c r="A78" s="29"/>
      <c r="B78" s="230" t="s">
        <v>359</v>
      </c>
      <c r="C78" s="318">
        <f>+'BudgerandActual Spend 24-25'!I18</f>
        <v>7808</v>
      </c>
      <c r="D78" s="318">
        <f>+'Spend Jan-Mar25'!H47</f>
        <v>-625</v>
      </c>
      <c r="E78" s="318">
        <f>+D78+C78</f>
        <v>7183</v>
      </c>
      <c r="F78" s="231">
        <f t="shared" ref="F78:Q78" si="61">SUM(F77:F77)</f>
        <v>625</v>
      </c>
      <c r="G78" s="231">
        <f t="shared" si="61"/>
        <v>625</v>
      </c>
      <c r="H78" s="231">
        <f t="shared" si="61"/>
        <v>625</v>
      </c>
      <c r="I78" s="231">
        <f t="shared" si="61"/>
        <v>650</v>
      </c>
      <c r="J78" s="231">
        <f t="shared" si="61"/>
        <v>650</v>
      </c>
      <c r="K78" s="231">
        <f t="shared" si="61"/>
        <v>650</v>
      </c>
      <c r="L78" s="231">
        <f t="shared" si="61"/>
        <v>650</v>
      </c>
      <c r="M78" s="231">
        <f t="shared" si="61"/>
        <v>650</v>
      </c>
      <c r="N78" s="247">
        <f t="shared" si="61"/>
        <v>650</v>
      </c>
      <c r="O78" s="247">
        <f t="shared" si="61"/>
        <v>650</v>
      </c>
      <c r="P78" s="247">
        <f t="shared" si="61"/>
        <v>650</v>
      </c>
      <c r="Q78" s="247">
        <f t="shared" si="61"/>
        <v>650</v>
      </c>
      <c r="R78" s="314">
        <f t="shared" si="60"/>
        <v>7725</v>
      </c>
      <c r="S78" s="308">
        <f>+E78-R78</f>
        <v>-542</v>
      </c>
      <c r="T78" s="29"/>
      <c r="U78" s="285">
        <f>+ROUND(R78*Inflation_Rate,0)</f>
        <v>8034</v>
      </c>
    </row>
    <row r="79" spans="1:22" ht="13.8" x14ac:dyDescent="0.25">
      <c r="A79" s="259" t="s">
        <v>300</v>
      </c>
      <c r="B79" s="83" t="s">
        <v>134</v>
      </c>
      <c r="J79" s="211">
        <v>300</v>
      </c>
      <c r="K79" s="211">
        <v>25</v>
      </c>
      <c r="N79" s="258">
        <v>250</v>
      </c>
      <c r="R79" s="268">
        <f t="shared" si="60"/>
        <v>575</v>
      </c>
      <c r="T79" s="15" t="s">
        <v>301</v>
      </c>
    </row>
    <row r="80" spans="1:22" ht="13.8" x14ac:dyDescent="0.25">
      <c r="A80" s="259"/>
      <c r="B80" s="83" t="s">
        <v>385</v>
      </c>
      <c r="M80" s="211">
        <v>25</v>
      </c>
      <c r="O80" s="210">
        <v>25</v>
      </c>
      <c r="Q80" s="210">
        <v>25</v>
      </c>
      <c r="R80" s="268">
        <f t="shared" si="60"/>
        <v>75</v>
      </c>
      <c r="T80" s="15"/>
    </row>
    <row r="81" spans="1:22" ht="13.8" x14ac:dyDescent="0.25">
      <c r="A81" s="29"/>
      <c r="B81" s="230" t="s">
        <v>362</v>
      </c>
      <c r="C81" s="318">
        <f>+'BudgerandActual Spend 24-25'!I19</f>
        <v>521</v>
      </c>
      <c r="D81" s="318">
        <f>+'Spend Jan-Mar25'!H50</f>
        <v>400</v>
      </c>
      <c r="E81" s="318">
        <f>+D81+C81</f>
        <v>921</v>
      </c>
      <c r="F81" s="231">
        <f t="shared" ref="F81:P81" si="62">SUM(F79:F80)</f>
        <v>0</v>
      </c>
      <c r="G81" s="231">
        <f t="shared" si="62"/>
        <v>0</v>
      </c>
      <c r="H81" s="231">
        <f t="shared" si="62"/>
        <v>0</v>
      </c>
      <c r="I81" s="231">
        <f t="shared" si="62"/>
        <v>0</v>
      </c>
      <c r="J81" s="231">
        <f t="shared" si="62"/>
        <v>300</v>
      </c>
      <c r="K81" s="231">
        <f t="shared" si="62"/>
        <v>25</v>
      </c>
      <c r="L81" s="231">
        <f t="shared" si="62"/>
        <v>0</v>
      </c>
      <c r="M81" s="231">
        <f t="shared" si="62"/>
        <v>25</v>
      </c>
      <c r="N81" s="247">
        <f t="shared" si="62"/>
        <v>250</v>
      </c>
      <c r="O81" s="247">
        <f t="shared" si="62"/>
        <v>25</v>
      </c>
      <c r="P81" s="247">
        <f t="shared" si="62"/>
        <v>0</v>
      </c>
      <c r="Q81" s="247">
        <f>SUM(Q79:Q80)</f>
        <v>25</v>
      </c>
      <c r="R81" s="314">
        <f t="shared" si="60"/>
        <v>650</v>
      </c>
      <c r="S81" s="308">
        <f>+E81-R81</f>
        <v>271</v>
      </c>
      <c r="T81" s="29"/>
      <c r="U81" s="292">
        <f>+ROUND(R81*Inflation_Rate,0)</f>
        <v>676</v>
      </c>
    </row>
    <row r="82" spans="1:22" ht="13.8" x14ac:dyDescent="0.25">
      <c r="A82" s="259" t="s">
        <v>300</v>
      </c>
      <c r="B82" s="83" t="s">
        <v>386</v>
      </c>
      <c r="R82" s="268">
        <f t="shared" ref="R82:R83" si="63">SUM(F82:Q82)</f>
        <v>0</v>
      </c>
      <c r="S82" s="15"/>
    </row>
    <row r="83" spans="1:22" ht="13.8" x14ac:dyDescent="0.25">
      <c r="A83" s="272"/>
      <c r="B83" s="230" t="s">
        <v>363</v>
      </c>
      <c r="C83" s="318">
        <v>0</v>
      </c>
      <c r="D83" s="318">
        <v>0</v>
      </c>
      <c r="E83" s="318">
        <v>0</v>
      </c>
      <c r="F83" s="312">
        <f>SUM(F82)</f>
        <v>0</v>
      </c>
      <c r="G83" s="312">
        <f t="shared" ref="G83:Q83" si="64">SUM(G82)</f>
        <v>0</v>
      </c>
      <c r="H83" s="312">
        <f t="shared" si="64"/>
        <v>0</v>
      </c>
      <c r="I83" s="312">
        <f t="shared" si="64"/>
        <v>0</v>
      </c>
      <c r="J83" s="312">
        <f t="shared" si="64"/>
        <v>0</v>
      </c>
      <c r="K83" s="312">
        <f t="shared" si="64"/>
        <v>0</v>
      </c>
      <c r="L83" s="312">
        <f t="shared" si="64"/>
        <v>0</v>
      </c>
      <c r="M83" s="312">
        <f t="shared" si="64"/>
        <v>0</v>
      </c>
      <c r="N83" s="313">
        <f t="shared" si="64"/>
        <v>0</v>
      </c>
      <c r="O83" s="313">
        <f t="shared" si="64"/>
        <v>0</v>
      </c>
      <c r="P83" s="313">
        <f t="shared" si="64"/>
        <v>0</v>
      </c>
      <c r="Q83" s="313">
        <f t="shared" si="64"/>
        <v>0</v>
      </c>
      <c r="R83" s="314">
        <f t="shared" si="63"/>
        <v>0</v>
      </c>
      <c r="S83" s="308">
        <f>+E83-R83</f>
        <v>0</v>
      </c>
      <c r="T83" s="29">
        <f>IF(R83&gt;=0,R83,0)</f>
        <v>0</v>
      </c>
      <c r="U83" s="273">
        <v>2000</v>
      </c>
      <c r="V83" s="15" t="s">
        <v>315</v>
      </c>
    </row>
    <row r="84" spans="1:22" ht="13.8" x14ac:dyDescent="0.25">
      <c r="A84" s="257" t="s">
        <v>300</v>
      </c>
      <c r="B84" s="83" t="s">
        <v>22</v>
      </c>
      <c r="G84" s="211">
        <f>1008.22*2</f>
        <v>2016.44</v>
      </c>
      <c r="I84" s="211">
        <f>1337.93+1196.4</f>
        <v>2534.33</v>
      </c>
      <c r="J84" s="211">
        <v>944.81</v>
      </c>
      <c r="L84" s="211">
        <v>1196.4000000000001</v>
      </c>
      <c r="M84" s="211">
        <v>944.81</v>
      </c>
      <c r="Q84" s="210">
        <v>1000</v>
      </c>
      <c r="R84" s="268">
        <f t="shared" si="60"/>
        <v>8636.7899999999991</v>
      </c>
      <c r="T84" s="15"/>
    </row>
    <row r="85" spans="1:22" ht="13.8" x14ac:dyDescent="0.25">
      <c r="A85" s="296" t="s">
        <v>371</v>
      </c>
      <c r="B85" s="83" t="s">
        <v>317</v>
      </c>
      <c r="L85" s="287">
        <f>((SUM(F84:L84)*0.166)*-1)-SUM(F85:K85)</f>
        <v>-1110.86868</v>
      </c>
      <c r="Q85" s="210">
        <f>((SUM(R84)*0.166)*-1)-SUM(F85:P85)</f>
        <v>-322.83845999999994</v>
      </c>
      <c r="R85" s="268">
        <f t="shared" ref="R85:R86" si="65">SUM(F85:Q85)</f>
        <v>-1433.70714</v>
      </c>
      <c r="T85" s="15"/>
    </row>
    <row r="86" spans="1:22" ht="13.8" x14ac:dyDescent="0.25">
      <c r="A86" s="29"/>
      <c r="B86" s="230" t="s">
        <v>361</v>
      </c>
      <c r="C86" s="318">
        <f>+'BudgerandActual Spend 24-25'!I20</f>
        <v>7250</v>
      </c>
      <c r="D86" s="318">
        <f>+'Spend Jan-Mar25'!H53</f>
        <v>1803.42</v>
      </c>
      <c r="E86" s="318">
        <f>+D86+C86</f>
        <v>9053.42</v>
      </c>
      <c r="F86" s="231">
        <f t="shared" ref="F86:I86" si="66">SUM(F84:F85)</f>
        <v>0</v>
      </c>
      <c r="G86" s="231">
        <f t="shared" si="66"/>
        <v>2016.44</v>
      </c>
      <c r="H86" s="231">
        <f t="shared" si="66"/>
        <v>0</v>
      </c>
      <c r="I86" s="231">
        <f t="shared" si="66"/>
        <v>2534.33</v>
      </c>
      <c r="J86" s="231">
        <f>SUM(J84:J85)</f>
        <v>944.81</v>
      </c>
      <c r="K86" s="231">
        <f t="shared" ref="K86" si="67">SUM(K84:K85)</f>
        <v>0</v>
      </c>
      <c r="L86" s="231">
        <f t="shared" ref="L86" si="68">SUM(L84:L85)</f>
        <v>85.531320000000051</v>
      </c>
      <c r="M86" s="231">
        <f t="shared" ref="M86" si="69">SUM(M84:M85)</f>
        <v>944.81</v>
      </c>
      <c r="N86" s="247">
        <f t="shared" ref="N86" si="70">SUM(N84:N85)</f>
        <v>0</v>
      </c>
      <c r="O86" s="247">
        <f t="shared" ref="O86" si="71">SUM(O84:O85)</f>
        <v>0</v>
      </c>
      <c r="P86" s="247">
        <f t="shared" ref="P86" si="72">SUM(P84:P85)</f>
        <v>0</v>
      </c>
      <c r="Q86" s="247">
        <f>SUM(Q84:Q85)</f>
        <v>677.16154000000006</v>
      </c>
      <c r="R86" s="314">
        <f t="shared" si="65"/>
        <v>7203.0828599999995</v>
      </c>
      <c r="S86" s="308">
        <f>+E86-R86</f>
        <v>1850.3371400000005</v>
      </c>
      <c r="T86" s="246"/>
      <c r="U86" s="292">
        <f>+ROUND(R86*Inflation_Rate,0)</f>
        <v>7491</v>
      </c>
    </row>
    <row r="87" spans="1:22" ht="13.8" x14ac:dyDescent="0.25">
      <c r="A87" s="259" t="s">
        <v>300</v>
      </c>
      <c r="B87" s="83" t="s">
        <v>146</v>
      </c>
      <c r="P87" s="210">
        <v>1562</v>
      </c>
      <c r="R87" s="268">
        <f t="shared" si="60"/>
        <v>1562</v>
      </c>
      <c r="T87" s="15"/>
    </row>
    <row r="88" spans="1:22" ht="13.8" x14ac:dyDescent="0.25">
      <c r="A88" s="29"/>
      <c r="B88" s="230" t="s">
        <v>360</v>
      </c>
      <c r="C88" s="320">
        <f>+'BudgerandActual Spend 24-25'!I21</f>
        <v>1562</v>
      </c>
      <c r="D88" s="319">
        <f>+'Spend Jan-Mar25'!H56</f>
        <v>0</v>
      </c>
      <c r="E88" s="318">
        <f>+D88+C88</f>
        <v>1562</v>
      </c>
      <c r="F88" s="231">
        <f t="shared" ref="F88:Q88" si="73">SUM(F87:F87)</f>
        <v>0</v>
      </c>
      <c r="G88" s="231">
        <f t="shared" si="73"/>
        <v>0</v>
      </c>
      <c r="H88" s="231">
        <f t="shared" si="73"/>
        <v>0</v>
      </c>
      <c r="I88" s="231">
        <f t="shared" si="73"/>
        <v>0</v>
      </c>
      <c r="J88" s="231">
        <f t="shared" si="73"/>
        <v>0</v>
      </c>
      <c r="K88" s="231">
        <f t="shared" si="73"/>
        <v>0</v>
      </c>
      <c r="L88" s="231">
        <f t="shared" si="73"/>
        <v>0</v>
      </c>
      <c r="M88" s="231">
        <f t="shared" si="73"/>
        <v>0</v>
      </c>
      <c r="N88" s="247">
        <f t="shared" si="73"/>
        <v>0</v>
      </c>
      <c r="O88" s="247">
        <f t="shared" si="73"/>
        <v>0</v>
      </c>
      <c r="P88" s="247">
        <f t="shared" si="73"/>
        <v>1562</v>
      </c>
      <c r="Q88" s="247">
        <f t="shared" si="73"/>
        <v>0</v>
      </c>
      <c r="R88" s="314">
        <f t="shared" si="60"/>
        <v>1562</v>
      </c>
      <c r="S88" s="308">
        <f>+E88-R88</f>
        <v>0</v>
      </c>
      <c r="T88" s="29"/>
      <c r="U88" s="285">
        <f>+ROUND(R88*Inflation_Rate,0)</f>
        <v>1624</v>
      </c>
    </row>
    <row r="89" spans="1:22" ht="13.8" x14ac:dyDescent="0.25">
      <c r="A89" s="257" t="s">
        <v>284</v>
      </c>
      <c r="B89" s="83" t="s">
        <v>260</v>
      </c>
      <c r="J89" s="211">
        <v>1324.8</v>
      </c>
      <c r="R89" s="268">
        <f t="shared" si="60"/>
        <v>1324.8</v>
      </c>
      <c r="T89" s="15"/>
    </row>
    <row r="90" spans="1:22" ht="13.8" x14ac:dyDescent="0.25">
      <c r="A90" s="296" t="s">
        <v>371</v>
      </c>
      <c r="B90" s="83" t="s">
        <v>317</v>
      </c>
      <c r="L90" s="287">
        <f>((SUM(F89:L89)*0.166)*-1)-SUM(F90:K90)</f>
        <v>-219.91679999999999</v>
      </c>
      <c r="Q90" s="210">
        <f>((SUM(R89)*0.166)*-1)-SUM(F90:P90)</f>
        <v>0</v>
      </c>
      <c r="R90" s="268">
        <f t="shared" ref="R90:R91" si="74">SUM(F90:Q90)</f>
        <v>-219.91679999999999</v>
      </c>
      <c r="T90" s="15"/>
    </row>
    <row r="91" spans="1:22" ht="13.8" x14ac:dyDescent="0.25">
      <c r="A91" s="246" t="s">
        <v>284</v>
      </c>
      <c r="B91" s="230" t="s">
        <v>364</v>
      </c>
      <c r="C91" s="320">
        <f>+'BudgerandActual Spend 24-25'!I33</f>
        <v>600</v>
      </c>
      <c r="D91" s="319">
        <f>+'Spend Jan-Mar25'!H93</f>
        <v>-302.39999999999998</v>
      </c>
      <c r="E91" s="318">
        <f>+D91+C91</f>
        <v>297.60000000000002</v>
      </c>
      <c r="F91" s="231">
        <f t="shared" ref="F91:I91" si="75">SUM(F89:F90)</f>
        <v>0</v>
      </c>
      <c r="G91" s="231">
        <f t="shared" si="75"/>
        <v>0</v>
      </c>
      <c r="H91" s="231">
        <f t="shared" si="75"/>
        <v>0</v>
      </c>
      <c r="I91" s="231">
        <f t="shared" si="75"/>
        <v>0</v>
      </c>
      <c r="J91" s="231">
        <f>SUM(J89:J90)</f>
        <v>1324.8</v>
      </c>
      <c r="K91" s="231">
        <f t="shared" ref="K91:L91" si="76">SUM(K89:K90)</f>
        <v>0</v>
      </c>
      <c r="L91" s="231">
        <f t="shared" si="76"/>
        <v>-219.91679999999999</v>
      </c>
      <c r="M91" s="231">
        <f t="shared" ref="M91" si="77">SUM(M89:M90)</f>
        <v>0</v>
      </c>
      <c r="N91" s="247">
        <f t="shared" ref="N91" si="78">SUM(N89:N90)</f>
        <v>0</v>
      </c>
      <c r="O91" s="247">
        <f t="shared" ref="O91" si="79">SUM(O89:O90)</f>
        <v>0</v>
      </c>
      <c r="P91" s="247">
        <f t="shared" ref="P91" si="80">SUM(P89:P90)</f>
        <v>0</v>
      </c>
      <c r="Q91" s="247">
        <f>SUM(Q89:Q90)</f>
        <v>0</v>
      </c>
      <c r="R91" s="314">
        <f t="shared" si="74"/>
        <v>1104.8832</v>
      </c>
      <c r="S91" s="308">
        <f>+E91-R91</f>
        <v>-807.28319999999997</v>
      </c>
      <c r="T91" s="15" t="s">
        <v>297</v>
      </c>
      <c r="U91" s="285">
        <f>+ROUND(R91*Inflation_Rate,0)</f>
        <v>1149</v>
      </c>
    </row>
    <row r="92" spans="1:22" ht="13.8" x14ac:dyDescent="0.25">
      <c r="A92" s="113" t="s">
        <v>379</v>
      </c>
      <c r="B92" s="196"/>
      <c r="C92" s="324">
        <f t="shared" ref="C92" si="81">+C91+C88+C86+C81+C78+C83</f>
        <v>17741</v>
      </c>
      <c r="D92" s="324">
        <f t="shared" ref="D92" si="82">+D91+D88+D86+D81+D78+D83</f>
        <v>1276.02</v>
      </c>
      <c r="E92" s="324">
        <f t="shared" ref="E92" si="83">+E91+E88+E86+E81+E78+E83</f>
        <v>19017.02</v>
      </c>
      <c r="F92" s="212">
        <f t="shared" ref="F92" si="84">+F91+F88+F86+F81+F78+F83</f>
        <v>625</v>
      </c>
      <c r="G92" s="212">
        <f t="shared" ref="G92" si="85">+G91+G88+G86+G81+G78+G83</f>
        <v>2641.44</v>
      </c>
      <c r="H92" s="212">
        <f t="shared" ref="H92" si="86">+H91+H88+H86+H81+H78+H83</f>
        <v>625</v>
      </c>
      <c r="I92" s="212">
        <f t="shared" ref="I92" si="87">+I91+I88+I86+I81+I78+I83</f>
        <v>3184.33</v>
      </c>
      <c r="J92" s="212">
        <f t="shared" ref="J92" si="88">+J91+J88+J86+J81+J78+J83</f>
        <v>3219.6099999999997</v>
      </c>
      <c r="K92" s="212">
        <f t="shared" ref="K92:R92" si="89">+K91+K88+K86+K81+K78+K83</f>
        <v>675</v>
      </c>
      <c r="L92" s="212">
        <f t="shared" si="89"/>
        <v>515.61452000000008</v>
      </c>
      <c r="M92" s="212">
        <f t="shared" si="89"/>
        <v>1619.81</v>
      </c>
      <c r="N92" s="311">
        <f t="shared" si="89"/>
        <v>900</v>
      </c>
      <c r="O92" s="311">
        <f t="shared" si="89"/>
        <v>675</v>
      </c>
      <c r="P92" s="311">
        <f t="shared" si="89"/>
        <v>2212</v>
      </c>
      <c r="Q92" s="311">
        <f t="shared" si="89"/>
        <v>1352.1615400000001</v>
      </c>
      <c r="R92" s="269">
        <f t="shared" si="89"/>
        <v>18244.966059999999</v>
      </c>
      <c r="S92" s="307">
        <f t="shared" ref="S92" si="90">+S91+S88+S86+S81+S78</f>
        <v>772.05394000000069</v>
      </c>
      <c r="T92" s="114"/>
      <c r="U92" s="199">
        <f>SUM(U77:U91)</f>
        <v>20974</v>
      </c>
    </row>
    <row r="93" spans="1:22" x14ac:dyDescent="0.25">
      <c r="A93" s="210"/>
      <c r="B93" s="210"/>
      <c r="C93" s="210"/>
      <c r="D93" s="210"/>
      <c r="E93" s="210"/>
      <c r="R93" s="268"/>
      <c r="S93" s="210"/>
    </row>
    <row r="94" spans="1:22" ht="13.8" x14ac:dyDescent="0.25">
      <c r="A94" s="113" t="s">
        <v>175</v>
      </c>
      <c r="B94" s="114"/>
      <c r="C94" s="114"/>
      <c r="D94" s="114"/>
      <c r="E94" s="114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2"/>
      <c r="Q94" s="212"/>
      <c r="R94" s="269"/>
      <c r="S94" s="212"/>
      <c r="T94" s="212"/>
      <c r="U94" s="269"/>
    </row>
    <row r="95" spans="1:22" ht="13.8" x14ac:dyDescent="0.25">
      <c r="A95" s="78"/>
      <c r="B95" s="121" t="s">
        <v>365</v>
      </c>
      <c r="C95" s="290"/>
      <c r="D95" s="290"/>
      <c r="E95" s="290"/>
      <c r="F95" s="291"/>
      <c r="G95" s="291"/>
      <c r="H95" s="291"/>
      <c r="I95" s="291"/>
      <c r="J95" s="291"/>
      <c r="K95" s="291"/>
      <c r="L95" s="291"/>
      <c r="M95" s="291"/>
      <c r="N95" s="253"/>
      <c r="O95" s="253"/>
      <c r="P95" s="253"/>
      <c r="Q95" s="253"/>
      <c r="R95" s="268">
        <f t="shared" ref="R95:R96" si="91">SUM(F95:Q95)</f>
        <v>0</v>
      </c>
      <c r="S95" s="78"/>
      <c r="T95" s="78"/>
      <c r="U95" s="293">
        <v>1000</v>
      </c>
    </row>
    <row r="96" spans="1:22" ht="13.8" x14ac:dyDescent="0.25">
      <c r="A96" s="261"/>
      <c r="B96" s="202" t="s">
        <v>366</v>
      </c>
      <c r="C96" s="290"/>
      <c r="D96" s="290"/>
      <c r="E96" s="290"/>
      <c r="F96" s="291"/>
      <c r="G96" s="291">
        <v>3250</v>
      </c>
      <c r="H96" s="291"/>
      <c r="I96" s="291"/>
      <c r="J96" s="291"/>
      <c r="K96" s="291"/>
      <c r="L96" s="291"/>
      <c r="M96" s="291"/>
      <c r="N96" s="253"/>
      <c r="O96" s="253"/>
      <c r="P96" s="253"/>
      <c r="Q96" s="253"/>
      <c r="R96" s="268">
        <f t="shared" si="91"/>
        <v>3250</v>
      </c>
      <c r="S96" s="78"/>
      <c r="T96" s="78"/>
      <c r="U96" s="285">
        <f>+ROUND(R96*Inflation_Rate,0)</f>
        <v>3380</v>
      </c>
    </row>
    <row r="97" spans="1:21" ht="13.8" x14ac:dyDescent="0.25">
      <c r="A97" s="113" t="s">
        <v>309</v>
      </c>
      <c r="B97" s="193"/>
      <c r="C97" s="323">
        <v>4250</v>
      </c>
      <c r="D97" s="325">
        <f t="shared" ref="D97:Q97" si="92">SUM(D95:D96)</f>
        <v>0</v>
      </c>
      <c r="E97" s="323">
        <f>+D97+C97</f>
        <v>4250</v>
      </c>
      <c r="F97" s="219">
        <f t="shared" si="92"/>
        <v>0</v>
      </c>
      <c r="G97" s="219">
        <f t="shared" si="92"/>
        <v>3250</v>
      </c>
      <c r="H97" s="219">
        <f t="shared" si="92"/>
        <v>0</v>
      </c>
      <c r="I97" s="219">
        <f t="shared" si="92"/>
        <v>0</v>
      </c>
      <c r="J97" s="219">
        <f t="shared" si="92"/>
        <v>0</v>
      </c>
      <c r="K97" s="219">
        <f t="shared" si="92"/>
        <v>0</v>
      </c>
      <c r="L97" s="219">
        <f t="shared" si="92"/>
        <v>0</v>
      </c>
      <c r="M97" s="219">
        <f t="shared" si="92"/>
        <v>0</v>
      </c>
      <c r="N97" s="278">
        <f t="shared" si="92"/>
        <v>0</v>
      </c>
      <c r="O97" s="278">
        <f t="shared" si="92"/>
        <v>0</v>
      </c>
      <c r="P97" s="278">
        <f t="shared" si="92"/>
        <v>0</v>
      </c>
      <c r="Q97" s="278">
        <f t="shared" si="92"/>
        <v>0</v>
      </c>
      <c r="R97" s="269">
        <f>SUM(F97:Q97)</f>
        <v>3250</v>
      </c>
      <c r="S97" s="114">
        <f>+E97-R97</f>
        <v>1000</v>
      </c>
      <c r="T97" s="114"/>
      <c r="U97" s="199">
        <f>SUM(U95:U96)</f>
        <v>4380</v>
      </c>
    </row>
    <row r="98" spans="1:21" ht="5.4" customHeight="1" x14ac:dyDescent="0.25">
      <c r="A98" s="21"/>
      <c r="B98" s="21"/>
      <c r="C98" s="21"/>
      <c r="D98" s="21"/>
      <c r="E98" s="21"/>
      <c r="F98" s="233"/>
      <c r="G98" s="233"/>
      <c r="H98" s="233"/>
      <c r="I98" s="233"/>
      <c r="J98" s="233"/>
      <c r="K98" s="233"/>
      <c r="L98" s="233"/>
      <c r="M98" s="233"/>
      <c r="N98" s="233"/>
      <c r="O98" s="233"/>
    </row>
    <row r="99" spans="1:21" ht="13.8" x14ac:dyDescent="0.25">
      <c r="A99" s="113" t="s">
        <v>194</v>
      </c>
      <c r="B99" s="114"/>
      <c r="C99" s="114"/>
      <c r="D99" s="114"/>
      <c r="E99" s="114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2"/>
      <c r="Q99" s="212"/>
      <c r="R99" s="269"/>
      <c r="S99" s="212"/>
      <c r="T99" s="212"/>
      <c r="U99" s="269"/>
    </row>
    <row r="100" spans="1:21" ht="13.8" x14ac:dyDescent="0.25">
      <c r="A100" s="262"/>
      <c r="B100" s="202" t="s">
        <v>367</v>
      </c>
      <c r="C100" s="226"/>
      <c r="D100" s="226"/>
      <c r="E100" s="226"/>
      <c r="F100" s="249"/>
      <c r="G100" s="249">
        <v>504</v>
      </c>
      <c r="H100" s="249"/>
      <c r="I100" s="249"/>
      <c r="J100" s="249"/>
      <c r="K100" s="249"/>
      <c r="L100" s="249"/>
      <c r="M100" s="249"/>
      <c r="N100" s="255"/>
      <c r="O100" s="255"/>
      <c r="P100" s="255"/>
      <c r="Q100" s="255"/>
      <c r="R100" s="268">
        <f t="shared" ref="R100:R102" si="93">SUM(F100:Q100)</f>
        <v>504</v>
      </c>
    </row>
    <row r="101" spans="1:21" ht="13.8" x14ac:dyDescent="0.25">
      <c r="A101" s="262"/>
      <c r="B101" s="202" t="s">
        <v>368</v>
      </c>
      <c r="C101" s="226"/>
      <c r="D101" s="226"/>
      <c r="E101" s="226"/>
      <c r="F101" s="249"/>
      <c r="G101" s="249">
        <v>420</v>
      </c>
      <c r="H101" s="249"/>
      <c r="I101" s="249"/>
      <c r="J101" s="249"/>
      <c r="K101" s="249"/>
      <c r="L101" s="249"/>
      <c r="M101" s="249"/>
      <c r="N101" s="255"/>
      <c r="O101" s="255">
        <v>500</v>
      </c>
      <c r="P101" s="255"/>
      <c r="Q101" s="255"/>
      <c r="R101" s="268">
        <f t="shared" si="93"/>
        <v>920</v>
      </c>
    </row>
    <row r="102" spans="1:21" ht="13.8" x14ac:dyDescent="0.25">
      <c r="A102" s="262"/>
      <c r="B102" s="202" t="s">
        <v>369</v>
      </c>
      <c r="C102" s="226"/>
      <c r="D102" s="226"/>
      <c r="E102" s="226"/>
      <c r="F102" s="249"/>
      <c r="G102" s="249"/>
      <c r="H102" s="249"/>
      <c r="I102" s="249"/>
      <c r="J102" s="249"/>
      <c r="K102" s="249"/>
      <c r="L102" s="249"/>
      <c r="M102" s="249"/>
      <c r="N102" s="255"/>
      <c r="O102" s="255"/>
      <c r="P102" s="255"/>
      <c r="Q102" s="255"/>
      <c r="R102" s="268">
        <f t="shared" si="93"/>
        <v>0</v>
      </c>
    </row>
    <row r="103" spans="1:21" ht="13.8" x14ac:dyDescent="0.25">
      <c r="A103" s="295" t="s">
        <v>371</v>
      </c>
      <c r="B103" s="202" t="s">
        <v>370</v>
      </c>
      <c r="C103" s="250"/>
      <c r="D103" s="250"/>
      <c r="E103" s="250"/>
      <c r="F103" s="251"/>
      <c r="G103" s="251"/>
      <c r="H103" s="251"/>
      <c r="I103" s="251"/>
      <c r="J103" s="251"/>
      <c r="K103" s="231"/>
      <c r="L103" s="231"/>
      <c r="M103" s="231"/>
      <c r="N103" s="232"/>
      <c r="O103" s="232"/>
      <c r="P103" s="232"/>
      <c r="Q103" s="232">
        <f>((SUM(R100:R102)*0.166)*-1)-SUM(F103:P103)</f>
        <v>-236.38400000000001</v>
      </c>
      <c r="R103" s="274">
        <f t="shared" ref="R103" si="94">SUM(F103:Q103)</f>
        <v>-236.38400000000001</v>
      </c>
    </row>
    <row r="104" spans="1:21" ht="13.8" x14ac:dyDescent="0.25">
      <c r="A104" s="113" t="s">
        <v>310</v>
      </c>
      <c r="B104" s="196"/>
      <c r="C104" s="322">
        <f>+'BudgerandActual Spend 24-25'!I58</f>
        <v>3000</v>
      </c>
      <c r="D104" s="324">
        <f>SUM(D100:D102)</f>
        <v>0</v>
      </c>
      <c r="E104" s="323">
        <f>+D104+C104</f>
        <v>3000</v>
      </c>
      <c r="F104" s="212">
        <f>SUM(F100:F103)</f>
        <v>0</v>
      </c>
      <c r="G104" s="212">
        <f>SUM(G100:G103)</f>
        <v>924</v>
      </c>
      <c r="H104" s="212">
        <f t="shared" ref="H104:M104" si="95">SUM(H100:H103)</f>
        <v>0</v>
      </c>
      <c r="I104" s="212">
        <f t="shared" si="95"/>
        <v>0</v>
      </c>
      <c r="J104" s="212">
        <f t="shared" si="95"/>
        <v>0</v>
      </c>
      <c r="K104" s="212">
        <f t="shared" si="95"/>
        <v>0</v>
      </c>
      <c r="L104" s="212">
        <f t="shared" si="95"/>
        <v>0</v>
      </c>
      <c r="M104" s="212">
        <f t="shared" si="95"/>
        <v>0</v>
      </c>
      <c r="N104" s="247">
        <f t="shared" ref="N104:Q104" si="96">SUM(N100:N103)</f>
        <v>0</v>
      </c>
      <c r="O104" s="247">
        <f t="shared" si="96"/>
        <v>500</v>
      </c>
      <c r="P104" s="247">
        <f t="shared" si="96"/>
        <v>0</v>
      </c>
      <c r="Q104" s="247">
        <f t="shared" si="96"/>
        <v>-236.38400000000001</v>
      </c>
      <c r="R104" s="269">
        <f>SUM(F104:Q104)</f>
        <v>1187.616</v>
      </c>
      <c r="S104" s="307">
        <f>+E104-R104</f>
        <v>1812.384</v>
      </c>
      <c r="T104" s="114"/>
      <c r="U104" s="294">
        <f>3000*Inflation_Rate</f>
        <v>3120</v>
      </c>
    </row>
    <row r="105" spans="1:21" ht="4.95" customHeight="1" x14ac:dyDescent="0.25"/>
    <row r="106" spans="1:21" ht="13.8" x14ac:dyDescent="0.25">
      <c r="A106" s="113" t="s">
        <v>353</v>
      </c>
      <c r="B106" s="114"/>
      <c r="C106" s="114"/>
      <c r="D106" s="114"/>
      <c r="E106" s="114"/>
      <c r="F106" s="212"/>
      <c r="G106" s="212"/>
      <c r="H106" s="212"/>
      <c r="I106" s="212"/>
      <c r="J106" s="212"/>
      <c r="K106" s="212"/>
      <c r="L106" s="212"/>
      <c r="M106" s="212"/>
      <c r="N106" s="212"/>
      <c r="O106" s="212"/>
      <c r="P106" s="212"/>
      <c r="Q106" s="212"/>
      <c r="R106" s="269"/>
      <c r="S106" s="212"/>
      <c r="T106" s="212"/>
      <c r="U106" s="269"/>
    </row>
    <row r="107" spans="1:21" ht="13.8" x14ac:dyDescent="0.25">
      <c r="A107" s="263"/>
      <c r="B107" s="204" t="s">
        <v>372</v>
      </c>
      <c r="C107" s="300"/>
      <c r="D107" s="300"/>
      <c r="E107" s="300"/>
      <c r="F107" s="301"/>
      <c r="G107" s="301">
        <v>200</v>
      </c>
      <c r="H107" s="301"/>
      <c r="I107" s="301"/>
      <c r="J107" s="301"/>
      <c r="K107" s="301"/>
      <c r="L107" s="301"/>
      <c r="M107" s="301"/>
      <c r="N107" s="276"/>
      <c r="O107" s="276"/>
      <c r="P107" s="276"/>
      <c r="Q107" s="276"/>
      <c r="R107" s="268">
        <f t="shared" ref="R107:R111" si="97">SUM(F107:Q107)</f>
        <v>200</v>
      </c>
    </row>
    <row r="108" spans="1:21" ht="13.8" x14ac:dyDescent="0.25">
      <c r="A108" s="264"/>
      <c r="B108" s="146" t="s">
        <v>390</v>
      </c>
      <c r="C108" s="226"/>
      <c r="D108" s="226"/>
      <c r="E108" s="226"/>
      <c r="F108" s="249"/>
      <c r="G108" s="249"/>
      <c r="H108" s="249"/>
      <c r="I108" s="249"/>
      <c r="J108" s="249"/>
      <c r="K108" s="249"/>
      <c r="L108" s="249"/>
      <c r="M108" s="249"/>
      <c r="N108" s="255"/>
      <c r="O108" s="255">
        <v>400</v>
      </c>
      <c r="P108" s="255"/>
      <c r="Q108" s="255"/>
      <c r="R108" s="268">
        <f t="shared" si="97"/>
        <v>400</v>
      </c>
    </row>
    <row r="109" spans="1:21" ht="13.8" x14ac:dyDescent="0.25">
      <c r="A109" s="264"/>
      <c r="B109" s="146" t="s">
        <v>373</v>
      </c>
      <c r="C109" s="226"/>
      <c r="D109" s="226"/>
      <c r="E109" s="226"/>
      <c r="F109" s="249"/>
      <c r="G109" s="249"/>
      <c r="H109" s="249"/>
      <c r="I109" s="249"/>
      <c r="J109" s="249"/>
      <c r="K109" s="249"/>
      <c r="L109" s="249"/>
      <c r="M109" s="211"/>
      <c r="N109" s="255">
        <v>109</v>
      </c>
      <c r="O109" s="255">
        <v>250</v>
      </c>
      <c r="P109" s="255"/>
      <c r="Q109" s="255"/>
      <c r="R109" s="268">
        <f t="shared" si="97"/>
        <v>359</v>
      </c>
      <c r="U109" s="299"/>
    </row>
    <row r="110" spans="1:21" ht="13.8" x14ac:dyDescent="0.25">
      <c r="A110" s="263"/>
      <c r="B110" s="146" t="s">
        <v>374</v>
      </c>
      <c r="C110" s="226"/>
      <c r="D110" s="226"/>
      <c r="E110" s="226"/>
      <c r="F110" s="304">
        <v>288</v>
      </c>
      <c r="G110" s="249"/>
      <c r="H110" s="249"/>
      <c r="I110" s="249"/>
      <c r="J110" s="249"/>
      <c r="K110" s="249"/>
      <c r="L110" s="249"/>
      <c r="M110" s="249"/>
      <c r="N110" s="255"/>
      <c r="O110" s="255"/>
      <c r="P110" s="255"/>
      <c r="Q110" s="255"/>
      <c r="R110" s="268">
        <f t="shared" si="97"/>
        <v>288</v>
      </c>
    </row>
    <row r="111" spans="1:21" ht="13.8" x14ac:dyDescent="0.25">
      <c r="A111" s="263"/>
      <c r="B111" s="146" t="s">
        <v>375</v>
      </c>
      <c r="C111" s="226"/>
      <c r="D111" s="226"/>
      <c r="E111" s="226"/>
      <c r="F111" s="249"/>
      <c r="G111" s="249"/>
      <c r="H111" s="249"/>
      <c r="I111" s="249"/>
      <c r="J111" s="249"/>
      <c r="K111" s="249"/>
      <c r="L111" s="249">
        <v>119.99</v>
      </c>
      <c r="M111" s="211"/>
      <c r="N111" s="255"/>
      <c r="O111" s="255"/>
      <c r="P111" s="255"/>
      <c r="Q111" s="255"/>
      <c r="R111" s="268">
        <f t="shared" si="97"/>
        <v>119.99</v>
      </c>
    </row>
    <row r="112" spans="1:21" ht="13.8" x14ac:dyDescent="0.25">
      <c r="A112" s="295" t="s">
        <v>371</v>
      </c>
      <c r="B112" s="83" t="s">
        <v>389</v>
      </c>
      <c r="C112" s="226"/>
      <c r="D112" s="226"/>
      <c r="E112" s="226"/>
      <c r="F112" s="249"/>
      <c r="G112" s="249"/>
      <c r="H112" s="249"/>
      <c r="I112" s="249"/>
      <c r="J112" s="249"/>
      <c r="K112" s="249"/>
      <c r="L112" s="249"/>
      <c r="M112" s="211"/>
      <c r="O112" s="255"/>
      <c r="P112" s="255"/>
      <c r="Q112" s="255">
        <f>+N109/120*20*-1</f>
        <v>-18.166666666666668</v>
      </c>
      <c r="R112" s="268">
        <f>SUM(F112:Q112)</f>
        <v>-18.166666666666668</v>
      </c>
    </row>
    <row r="113" spans="1:23" ht="13.8" x14ac:dyDescent="0.25">
      <c r="A113" s="113" t="s">
        <v>311</v>
      </c>
      <c r="B113" s="114"/>
      <c r="C113" s="322">
        <f>+'BudgerandActual Spend 24-25'!I63</f>
        <v>3000</v>
      </c>
      <c r="D113" s="325">
        <f>SUM(D107:D111)</f>
        <v>0</v>
      </c>
      <c r="E113" s="325">
        <f>+D113+C113</f>
        <v>3000</v>
      </c>
      <c r="F113" s="219">
        <f t="shared" ref="F113" si="98">SUM(F107:F112)</f>
        <v>288</v>
      </c>
      <c r="G113" s="219">
        <f t="shared" ref="G113" si="99">SUM(G107:G112)</f>
        <v>200</v>
      </c>
      <c r="H113" s="219">
        <f t="shared" ref="H113" si="100">SUM(H107:H112)</f>
        <v>0</v>
      </c>
      <c r="I113" s="219">
        <f t="shared" ref="I113" si="101">SUM(I107:I112)</f>
        <v>0</v>
      </c>
      <c r="J113" s="219">
        <f t="shared" ref="J113" si="102">SUM(J107:J112)</f>
        <v>0</v>
      </c>
      <c r="K113" s="219">
        <f t="shared" ref="K113" si="103">SUM(K107:K112)</f>
        <v>0</v>
      </c>
      <c r="L113" s="219">
        <f t="shared" ref="L113:P113" si="104">SUM(L107:L112)</f>
        <v>119.99</v>
      </c>
      <c r="M113" s="219">
        <f t="shared" si="104"/>
        <v>0</v>
      </c>
      <c r="N113" s="278">
        <f t="shared" si="104"/>
        <v>109</v>
      </c>
      <c r="O113" s="278">
        <f t="shared" si="104"/>
        <v>650</v>
      </c>
      <c r="P113" s="278">
        <f t="shared" si="104"/>
        <v>0</v>
      </c>
      <c r="Q113" s="278">
        <f>SUM(Q107:Q112)</f>
        <v>-18.166666666666668</v>
      </c>
      <c r="R113" s="269">
        <f>SUM(F113:Q113)</f>
        <v>1348.8233333333333</v>
      </c>
      <c r="S113" s="307">
        <f>+E113-R113</f>
        <v>1651.1766666666667</v>
      </c>
      <c r="T113" s="114"/>
      <c r="U113" s="294">
        <v>2500</v>
      </c>
    </row>
    <row r="114" spans="1:23" ht="4.95" customHeight="1" x14ac:dyDescent="0.25"/>
    <row r="115" spans="1:23" ht="13.8" x14ac:dyDescent="0.25">
      <c r="A115" s="113" t="s">
        <v>197</v>
      </c>
      <c r="B115" s="114"/>
      <c r="C115" s="114"/>
      <c r="D115" s="114"/>
      <c r="E115" s="114"/>
      <c r="F115" s="212"/>
      <c r="G115" s="212"/>
      <c r="H115" s="212"/>
      <c r="I115" s="212"/>
      <c r="J115" s="212"/>
      <c r="K115" s="212"/>
      <c r="L115" s="212"/>
      <c r="M115" s="212"/>
      <c r="N115" s="212"/>
      <c r="O115" s="212"/>
      <c r="P115" s="212"/>
      <c r="Q115" s="212"/>
      <c r="R115" s="269"/>
      <c r="S115" s="212"/>
      <c r="T115" s="212"/>
      <c r="U115" s="269"/>
    </row>
    <row r="116" spans="1:23" ht="13.8" x14ac:dyDescent="0.25">
      <c r="A116" s="297"/>
      <c r="B116" s="202" t="s">
        <v>356</v>
      </c>
      <c r="C116" s="226"/>
      <c r="D116" s="226"/>
      <c r="E116" s="226"/>
      <c r="F116" s="249"/>
      <c r="G116" s="249"/>
      <c r="H116" s="249"/>
      <c r="I116" s="249"/>
      <c r="J116" s="249"/>
      <c r="K116" s="249"/>
      <c r="L116" s="288">
        <f>-5166.89-L85-L72-L69-L56-L47-L31-L19-L15-L90</f>
        <v>-28.086099999999931</v>
      </c>
      <c r="M116" s="249"/>
      <c r="N116" s="255"/>
      <c r="O116" s="255"/>
      <c r="P116" s="255"/>
      <c r="Q116" s="255"/>
      <c r="R116" s="279">
        <f t="shared" ref="R116:R117" si="105">SUM(F116:Q116)</f>
        <v>-28.086099999999931</v>
      </c>
      <c r="U116" s="299"/>
    </row>
    <row r="117" spans="1:23" ht="13.8" x14ac:dyDescent="0.25">
      <c r="A117" s="146"/>
      <c r="B117" s="68"/>
      <c r="C117" s="250"/>
      <c r="D117" s="250"/>
      <c r="E117" s="250"/>
      <c r="F117" s="251"/>
      <c r="G117" s="251"/>
      <c r="H117" s="251"/>
      <c r="I117" s="251"/>
      <c r="J117" s="251"/>
      <c r="K117" s="251"/>
      <c r="L117" s="251"/>
      <c r="M117" s="251"/>
      <c r="N117" s="256"/>
      <c r="O117" s="256"/>
      <c r="P117" s="256"/>
      <c r="Q117" s="256"/>
      <c r="R117" s="280">
        <f t="shared" si="105"/>
        <v>0</v>
      </c>
    </row>
    <row r="118" spans="1:23" ht="13.8" x14ac:dyDescent="0.25">
      <c r="A118" s="113" t="s">
        <v>312</v>
      </c>
      <c r="B118" s="114"/>
      <c r="C118" s="322">
        <f>+'BudgerandActual Spend 24-25'!I76</f>
        <v>10000</v>
      </c>
      <c r="D118" s="326">
        <f>SUM(D116:D117)</f>
        <v>0</v>
      </c>
      <c r="E118" s="323">
        <f>+D118+C118</f>
        <v>10000</v>
      </c>
      <c r="F118" s="223">
        <f t="shared" ref="F118:Q118" si="106">SUM(F116:F117)</f>
        <v>0</v>
      </c>
      <c r="G118" s="223">
        <f t="shared" si="106"/>
        <v>0</v>
      </c>
      <c r="H118" s="223">
        <f t="shared" si="106"/>
        <v>0</v>
      </c>
      <c r="I118" s="223">
        <f t="shared" si="106"/>
        <v>0</v>
      </c>
      <c r="J118" s="223">
        <f t="shared" si="106"/>
        <v>0</v>
      </c>
      <c r="K118" s="223">
        <f t="shared" si="106"/>
        <v>0</v>
      </c>
      <c r="L118" s="223">
        <f t="shared" si="106"/>
        <v>-28.086099999999931</v>
      </c>
      <c r="M118" s="223">
        <f t="shared" si="106"/>
        <v>0</v>
      </c>
      <c r="N118" s="310">
        <f t="shared" si="106"/>
        <v>0</v>
      </c>
      <c r="O118" s="310">
        <f t="shared" si="106"/>
        <v>0</v>
      </c>
      <c r="P118" s="310">
        <f t="shared" si="106"/>
        <v>0</v>
      </c>
      <c r="Q118" s="310">
        <f t="shared" si="106"/>
        <v>0</v>
      </c>
      <c r="R118" s="269">
        <f>SUM(F118:Q118)</f>
        <v>-28.086099999999931</v>
      </c>
      <c r="S118" s="307">
        <f>+E118-R118</f>
        <v>10028.0861</v>
      </c>
      <c r="T118" s="114"/>
      <c r="U118" s="199">
        <v>10500</v>
      </c>
    </row>
    <row r="119" spans="1:23" ht="4.95" customHeight="1" x14ac:dyDescent="0.25"/>
    <row r="120" spans="1:23" ht="13.8" x14ac:dyDescent="0.25">
      <c r="A120" s="206" t="s">
        <v>323</v>
      </c>
      <c r="B120" s="203"/>
      <c r="C120" s="203"/>
      <c r="D120" s="203"/>
      <c r="E120" s="203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70"/>
      <c r="S120" s="220"/>
      <c r="T120" s="220"/>
      <c r="U120" s="270"/>
    </row>
    <row r="121" spans="1:23" ht="13.8" x14ac:dyDescent="0.25">
      <c r="A121" s="302"/>
      <c r="B121" s="147" t="s">
        <v>354</v>
      </c>
      <c r="C121" s="226"/>
      <c r="D121" s="226"/>
      <c r="E121" s="226"/>
      <c r="F121" s="249"/>
      <c r="G121" s="249"/>
      <c r="H121" s="249"/>
      <c r="I121" s="249"/>
      <c r="J121" s="249"/>
      <c r="K121" s="249"/>
      <c r="L121" s="249"/>
      <c r="M121" s="249"/>
      <c r="N121" s="255"/>
      <c r="O121" s="255"/>
      <c r="P121" s="255"/>
      <c r="Q121" s="255"/>
      <c r="R121" s="279">
        <f t="shared" ref="R121" si="107">SUM(F121:Q121)</f>
        <v>0</v>
      </c>
      <c r="U121" s="299">
        <v>6000</v>
      </c>
    </row>
    <row r="122" spans="1:23" ht="13.8" x14ac:dyDescent="0.25">
      <c r="A122" s="302"/>
      <c r="B122" s="147" t="s">
        <v>355</v>
      </c>
      <c r="C122" s="226"/>
      <c r="D122" s="226"/>
      <c r="E122" s="226"/>
      <c r="F122" s="249"/>
      <c r="G122" s="249"/>
      <c r="H122" s="249"/>
      <c r="I122" s="249"/>
      <c r="J122" s="249"/>
      <c r="K122" s="249"/>
      <c r="L122" s="304">
        <v>27.89</v>
      </c>
      <c r="M122" s="249"/>
      <c r="N122" s="255"/>
      <c r="O122" s="255"/>
      <c r="P122" s="255"/>
      <c r="Q122" s="255"/>
      <c r="R122" s="268">
        <f t="shared" ref="R122" si="108">SUM(F122:Q122)</f>
        <v>27.89</v>
      </c>
      <c r="U122" s="12">
        <v>8250</v>
      </c>
    </row>
    <row r="123" spans="1:23" ht="13.8" x14ac:dyDescent="0.25">
      <c r="A123" s="266" t="s">
        <v>313</v>
      </c>
      <c r="B123" s="198"/>
      <c r="C123" s="322">
        <f>+'BudgerandActual Spend 24-25'!I80</f>
        <v>5000</v>
      </c>
      <c r="D123" s="324">
        <f t="shared" ref="D123" si="109">SUM(D122:D122)</f>
        <v>0</v>
      </c>
      <c r="E123" s="323">
        <f>+D123+C123</f>
        <v>5000</v>
      </c>
      <c r="F123" s="212">
        <f t="shared" ref="F123:I123" si="110">SUM(F121:F122)</f>
        <v>0</v>
      </c>
      <c r="G123" s="212">
        <f t="shared" si="110"/>
        <v>0</v>
      </c>
      <c r="H123" s="212">
        <f t="shared" si="110"/>
        <v>0</v>
      </c>
      <c r="I123" s="212">
        <f t="shared" si="110"/>
        <v>0</v>
      </c>
      <c r="J123" s="212">
        <f>SUM(J121:J122)</f>
        <v>0</v>
      </c>
      <c r="K123" s="212">
        <f t="shared" ref="K123:M123" si="111">SUM(K121:K122)</f>
        <v>0</v>
      </c>
      <c r="L123" s="212">
        <f t="shared" si="111"/>
        <v>27.89</v>
      </c>
      <c r="M123" s="212">
        <f t="shared" si="111"/>
        <v>0</v>
      </c>
      <c r="N123" s="311">
        <f t="shared" ref="N123" si="112">SUM(N121:N122)</f>
        <v>0</v>
      </c>
      <c r="O123" s="311">
        <f t="shared" ref="O123" si="113">SUM(O121:O122)</f>
        <v>0</v>
      </c>
      <c r="P123" s="311">
        <f t="shared" ref="P123" si="114">SUM(P121:P122)</f>
        <v>0</v>
      </c>
      <c r="Q123" s="311">
        <f t="shared" ref="Q123" si="115">SUM(Q121:Q122)</f>
        <v>0</v>
      </c>
      <c r="R123" s="269">
        <f>SUM(F123:Q123)</f>
        <v>27.89</v>
      </c>
      <c r="S123" s="307">
        <f>+E123-R123</f>
        <v>4972.1099999999997</v>
      </c>
      <c r="T123" s="114"/>
      <c r="U123" s="199">
        <f>SUM(U121:U122)</f>
        <v>14250</v>
      </c>
    </row>
    <row r="124" spans="1:23" ht="4.95" customHeight="1" x14ac:dyDescent="0.25">
      <c r="S124" s="12"/>
      <c r="T124" s="12"/>
      <c r="V124" s="12"/>
      <c r="W124" s="12"/>
    </row>
    <row r="125" spans="1:23" ht="13.8" x14ac:dyDescent="0.25">
      <c r="A125" s="113" t="s">
        <v>307</v>
      </c>
      <c r="B125" s="114"/>
      <c r="C125" s="114"/>
      <c r="D125" s="114"/>
      <c r="E125" s="114"/>
      <c r="F125" s="212"/>
      <c r="G125" s="212"/>
      <c r="H125" s="212"/>
      <c r="I125" s="212"/>
      <c r="J125" s="212"/>
      <c r="K125" s="212"/>
      <c r="L125" s="212"/>
      <c r="M125" s="212"/>
      <c r="N125" s="212"/>
      <c r="O125" s="212"/>
      <c r="P125" s="212"/>
      <c r="Q125" s="212"/>
      <c r="R125" s="269"/>
      <c r="S125" s="212"/>
      <c r="T125" s="212"/>
      <c r="U125" s="269"/>
    </row>
    <row r="126" spans="1:23" ht="13.8" x14ac:dyDescent="0.25">
      <c r="A126" s="298"/>
      <c r="B126" s="147" t="s">
        <v>377</v>
      </c>
      <c r="C126" s="226"/>
      <c r="D126" s="226"/>
      <c r="E126" s="226">
        <v>0</v>
      </c>
      <c r="F126" s="249">
        <v>0</v>
      </c>
      <c r="G126" s="249">
        <v>0</v>
      </c>
      <c r="H126" s="249">
        <v>0</v>
      </c>
      <c r="I126" s="249">
        <v>0</v>
      </c>
      <c r="J126" s="249">
        <v>0</v>
      </c>
      <c r="K126" s="249"/>
      <c r="L126" s="249"/>
      <c r="M126" s="249"/>
      <c r="N126" s="255"/>
      <c r="O126" s="255"/>
      <c r="P126" s="255"/>
      <c r="Q126" s="255"/>
      <c r="R126" s="268">
        <f>SUM(F126:Q126)</f>
        <v>0</v>
      </c>
    </row>
    <row r="127" spans="1:23" ht="13.8" x14ac:dyDescent="0.25">
      <c r="A127" s="298"/>
      <c r="B127" s="147" t="s">
        <v>376</v>
      </c>
      <c r="C127" s="226"/>
      <c r="D127" s="226"/>
      <c r="E127" s="226"/>
      <c r="F127" s="249"/>
      <c r="G127" s="249"/>
      <c r="H127" s="249"/>
      <c r="I127" s="249"/>
      <c r="J127" s="249"/>
      <c r="K127" s="249"/>
      <c r="L127" s="249"/>
      <c r="M127" s="249"/>
      <c r="N127" s="255"/>
      <c r="O127" s="255"/>
      <c r="P127" s="255"/>
      <c r="Q127" s="255"/>
      <c r="R127" s="268">
        <f t="shared" ref="R127:R128" si="116">SUM(F127:Q127)</f>
        <v>0</v>
      </c>
    </row>
    <row r="128" spans="1:23" ht="13.8" x14ac:dyDescent="0.25">
      <c r="A128" s="209"/>
      <c r="B128" s="305" t="s">
        <v>382</v>
      </c>
      <c r="C128" s="226"/>
      <c r="D128" s="226"/>
      <c r="E128" s="226"/>
      <c r="F128" s="249"/>
      <c r="G128" s="249"/>
      <c r="H128" s="249"/>
      <c r="I128" s="249"/>
      <c r="J128" s="249">
        <v>38.71</v>
      </c>
      <c r="K128" s="249"/>
      <c r="L128" s="249"/>
      <c r="M128" s="249"/>
      <c r="N128" s="255"/>
      <c r="O128" s="255"/>
      <c r="P128" s="255"/>
      <c r="Q128" s="255"/>
      <c r="R128" s="268">
        <f t="shared" si="116"/>
        <v>38.71</v>
      </c>
    </row>
    <row r="129" spans="1:21" ht="13.8" x14ac:dyDescent="0.25">
      <c r="A129" s="266" t="s">
        <v>314</v>
      </c>
      <c r="B129" s="198"/>
      <c r="C129" s="322">
        <v>0</v>
      </c>
      <c r="D129" s="322">
        <v>0</v>
      </c>
      <c r="E129" s="323">
        <f>+D129+C129</f>
        <v>0</v>
      </c>
      <c r="F129" s="212">
        <f t="shared" ref="F129:Q129" si="117">SUM(F126:F128)</f>
        <v>0</v>
      </c>
      <c r="G129" s="212">
        <f t="shared" si="117"/>
        <v>0</v>
      </c>
      <c r="H129" s="212">
        <f t="shared" si="117"/>
        <v>0</v>
      </c>
      <c r="I129" s="212">
        <f t="shared" si="117"/>
        <v>0</v>
      </c>
      <c r="J129" s="212">
        <f t="shared" si="117"/>
        <v>38.71</v>
      </c>
      <c r="K129" s="212">
        <f t="shared" si="117"/>
        <v>0</v>
      </c>
      <c r="L129" s="212">
        <f t="shared" si="117"/>
        <v>0</v>
      </c>
      <c r="M129" s="212">
        <f t="shared" si="117"/>
        <v>0</v>
      </c>
      <c r="N129" s="311">
        <f t="shared" si="117"/>
        <v>0</v>
      </c>
      <c r="O129" s="311">
        <f t="shared" si="117"/>
        <v>0</v>
      </c>
      <c r="P129" s="311">
        <f t="shared" si="117"/>
        <v>0</v>
      </c>
      <c r="Q129" s="311">
        <f t="shared" si="117"/>
        <v>0</v>
      </c>
      <c r="R129" s="269">
        <f>SUM(F129:Q129)</f>
        <v>38.71</v>
      </c>
      <c r="S129" s="114">
        <f>+E129-R129</f>
        <v>-38.71</v>
      </c>
      <c r="T129" s="114"/>
      <c r="U129" s="199">
        <v>40</v>
      </c>
    </row>
    <row r="130" spans="1:21" ht="3.6" customHeight="1" x14ac:dyDescent="0.25"/>
    <row r="131" spans="1:21" x14ac:dyDescent="0.25">
      <c r="A131" s="15" t="s">
        <v>244</v>
      </c>
      <c r="C131" s="327">
        <f t="shared" ref="C131:S131" si="118">+C123+C118+C113+C104+C97+C92+C74+C52-C129</f>
        <v>81360.2</v>
      </c>
      <c r="D131" s="327">
        <f t="shared" si="118"/>
        <v>1825.1</v>
      </c>
      <c r="E131" s="327">
        <f t="shared" si="118"/>
        <v>83185.3</v>
      </c>
      <c r="F131" s="252">
        <f t="shared" si="118"/>
        <v>2404.29</v>
      </c>
      <c r="G131" s="252">
        <f t="shared" si="118"/>
        <v>15595.7</v>
      </c>
      <c r="H131" s="211">
        <f t="shared" si="118"/>
        <v>1386.1599999999999</v>
      </c>
      <c r="I131" s="252">
        <f t="shared" si="118"/>
        <v>19307.739999999998</v>
      </c>
      <c r="J131" s="211">
        <f t="shared" si="118"/>
        <v>6320.87</v>
      </c>
      <c r="K131" s="252">
        <f t="shared" si="118"/>
        <v>1588.58</v>
      </c>
      <c r="L131" s="252">
        <f t="shared" si="118"/>
        <v>-1549.5940000000003</v>
      </c>
      <c r="M131" s="252">
        <f t="shared" si="118"/>
        <v>2624.31</v>
      </c>
      <c r="N131" s="265">
        <f t="shared" si="118"/>
        <v>3268.5</v>
      </c>
      <c r="O131" s="265">
        <f t="shared" si="118"/>
        <v>3405.5</v>
      </c>
      <c r="P131" s="265">
        <f t="shared" si="118"/>
        <v>3132.5</v>
      </c>
      <c r="Q131" s="265">
        <f t="shared" si="118"/>
        <v>3280.5098733333334</v>
      </c>
      <c r="R131" s="315">
        <f t="shared" si="118"/>
        <v>60765.065873333333</v>
      </c>
      <c r="S131" s="283">
        <f t="shared" si="118"/>
        <v>22420.234126666674</v>
      </c>
      <c r="T131" s="15"/>
      <c r="U131" s="271">
        <f>+U123+U118+U113+U104+U97+U92+U74+U52-U129</f>
        <v>82063</v>
      </c>
    </row>
    <row r="132" spans="1:21" x14ac:dyDescent="0.25">
      <c r="S132" s="210"/>
    </row>
    <row r="133" spans="1:21" x14ac:dyDescent="0.25">
      <c r="A133" t="s">
        <v>380</v>
      </c>
      <c r="F133" s="210">
        <v>27380</v>
      </c>
      <c r="L133" s="243">
        <v>27380</v>
      </c>
    </row>
    <row r="134" spans="1:21" x14ac:dyDescent="0.25">
      <c r="A134" s="15" t="s">
        <v>387</v>
      </c>
      <c r="C134" s="243"/>
      <c r="D134" s="243"/>
      <c r="E134" s="243"/>
      <c r="F134" s="243">
        <v>58767.9</v>
      </c>
      <c r="G134" s="243">
        <v>43172.2</v>
      </c>
      <c r="H134" s="243">
        <v>41786.04</v>
      </c>
      <c r="I134" s="243">
        <v>22478.3</v>
      </c>
      <c r="J134" s="243">
        <v>16157.43</v>
      </c>
      <c r="K134" s="243">
        <v>14568.85</v>
      </c>
      <c r="L134" s="243">
        <v>43504.42</v>
      </c>
      <c r="M134" s="243"/>
      <c r="N134" s="243"/>
      <c r="O134" s="243"/>
      <c r="P134" s="243"/>
      <c r="Q134" s="243"/>
      <c r="R134" s="271"/>
      <c r="S134" s="243"/>
    </row>
    <row r="135" spans="1:21" outlineLevel="1" x14ac:dyDescent="0.25">
      <c r="C135" s="243"/>
      <c r="D135" s="243"/>
      <c r="E135" s="243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71"/>
      <c r="S135" s="243"/>
    </row>
    <row r="136" spans="1:21" outlineLevel="1" x14ac:dyDescent="0.25">
      <c r="B136" s="15"/>
    </row>
    <row r="137" spans="1:21" x14ac:dyDescent="0.25">
      <c r="A137" s="15" t="s">
        <v>388</v>
      </c>
      <c r="B137" s="15"/>
      <c r="F137" s="258">
        <f>+F131</f>
        <v>2404.29</v>
      </c>
      <c r="G137" s="211">
        <f>+F134-G134</f>
        <v>15595.700000000004</v>
      </c>
      <c r="H137" s="211">
        <f>+G134-H134</f>
        <v>1386.1599999999962</v>
      </c>
      <c r="I137" s="252">
        <f>+H134-I134</f>
        <v>19307.740000000002</v>
      </c>
      <c r="J137" s="252">
        <f>+I134-J134</f>
        <v>6320.869999999999</v>
      </c>
      <c r="K137" s="252">
        <f>+J134-K134</f>
        <v>1588.58</v>
      </c>
      <c r="L137" s="252">
        <f>+K134-L134+L133</f>
        <v>-1555.5699999999997</v>
      </c>
    </row>
    <row r="138" spans="1:21" s="49" customFormat="1" ht="15.6" x14ac:dyDescent="0.25">
      <c r="A138" s="282" t="s">
        <v>183</v>
      </c>
      <c r="B138" s="62"/>
      <c r="C138" s="61"/>
      <c r="D138" s="61"/>
      <c r="E138" s="61"/>
      <c r="K138" s="61"/>
      <c r="L138" s="61"/>
      <c r="M138" s="61"/>
      <c r="N138" s="61"/>
      <c r="O138" s="63"/>
      <c r="P138" s="64"/>
      <c r="Q138" s="61"/>
      <c r="R138" s="63"/>
    </row>
    <row r="139" spans="1:21" s="77" customFormat="1" ht="13.8" x14ac:dyDescent="0.25">
      <c r="A139" s="155"/>
      <c r="B139" s="156"/>
      <c r="C139" s="157"/>
      <c r="D139" s="157"/>
      <c r="E139" s="281" t="s">
        <v>234</v>
      </c>
      <c r="K139" s="157"/>
      <c r="L139" s="158" t="s">
        <v>170</v>
      </c>
      <c r="M139" s="158"/>
      <c r="N139" s="158" t="s">
        <v>122</v>
      </c>
      <c r="O139" s="157"/>
      <c r="P139" s="159"/>
      <c r="Q139" s="157"/>
      <c r="R139" s="72"/>
    </row>
    <row r="140" spans="1:21" s="77" customFormat="1" ht="13.8" x14ac:dyDescent="0.25">
      <c r="A140" s="160" t="s">
        <v>169</v>
      </c>
      <c r="B140" s="161"/>
      <c r="C140" s="162"/>
      <c r="D140" s="162"/>
      <c r="E140" s="162"/>
      <c r="K140" s="162"/>
      <c r="L140" s="163">
        <v>49835.08</v>
      </c>
      <c r="M140" s="164"/>
      <c r="N140" s="164">
        <v>61.72</v>
      </c>
      <c r="O140" s="162"/>
      <c r="P140" s="165"/>
      <c r="Q140" s="162"/>
      <c r="R140" s="73"/>
    </row>
    <row r="141" spans="1:21" s="77" customFormat="1" ht="13.8" x14ac:dyDescent="0.25">
      <c r="A141" s="166"/>
      <c r="B141" s="161"/>
      <c r="C141" s="162"/>
      <c r="D141" s="162"/>
      <c r="E141" s="162"/>
      <c r="K141" s="162"/>
      <c r="L141" s="167"/>
      <c r="M141" s="162"/>
      <c r="N141" s="162"/>
      <c r="O141" s="162"/>
      <c r="P141" s="167"/>
      <c r="Q141" s="162"/>
      <c r="R141" s="73"/>
    </row>
    <row r="142" spans="1:21" s="77" customFormat="1" ht="13.8" x14ac:dyDescent="0.25">
      <c r="A142" s="160" t="s">
        <v>320</v>
      </c>
      <c r="B142" s="161"/>
      <c r="C142" s="162"/>
      <c r="D142" s="162"/>
      <c r="E142" s="162">
        <v>81812</v>
      </c>
      <c r="K142" s="162"/>
      <c r="L142" s="186">
        <v>54760</v>
      </c>
      <c r="M142" s="164"/>
      <c r="N142" s="173">
        <v>68.05</v>
      </c>
      <c r="O142" s="162"/>
      <c r="P142" s="167"/>
      <c r="Q142" s="162"/>
      <c r="R142" s="73"/>
    </row>
    <row r="143" spans="1:21" s="77" customFormat="1" ht="13.8" x14ac:dyDescent="0.25">
      <c r="A143" s="160"/>
      <c r="B143" s="161"/>
      <c r="C143" s="162"/>
      <c r="D143" s="162"/>
      <c r="E143" s="162"/>
      <c r="K143" s="162"/>
      <c r="L143" s="167"/>
      <c r="M143" s="162"/>
      <c r="N143" s="162"/>
      <c r="O143" s="162"/>
      <c r="P143" s="167"/>
      <c r="Q143" s="162"/>
      <c r="R143" s="73"/>
    </row>
    <row r="144" spans="1:21" s="77" customFormat="1" ht="13.8" x14ac:dyDescent="0.25">
      <c r="A144" s="160" t="s">
        <v>321</v>
      </c>
      <c r="B144" s="162"/>
      <c r="C144" s="168"/>
      <c r="D144" s="162"/>
      <c r="E144" s="162"/>
      <c r="K144" s="162"/>
      <c r="L144" s="169" t="s">
        <v>126</v>
      </c>
      <c r="M144" s="170"/>
      <c r="N144" s="170" t="s">
        <v>127</v>
      </c>
      <c r="O144" s="162"/>
      <c r="P144" s="167"/>
      <c r="Q144" s="162"/>
      <c r="R144" s="73"/>
    </row>
    <row r="145" spans="1:18" s="77" customFormat="1" x14ac:dyDescent="0.25">
      <c r="A145" s="171" t="s">
        <v>108</v>
      </c>
      <c r="B145" s="162"/>
      <c r="C145" s="162"/>
      <c r="D145" s="162"/>
      <c r="E145" s="162"/>
      <c r="K145" s="162"/>
      <c r="L145" s="172">
        <f>+U131</f>
        <v>82063</v>
      </c>
      <c r="M145" s="162"/>
      <c r="N145" s="162"/>
      <c r="O145" s="162"/>
      <c r="P145" s="167"/>
      <c r="Q145" s="162"/>
      <c r="R145" s="73"/>
    </row>
    <row r="146" spans="1:18" s="77" customFormat="1" x14ac:dyDescent="0.25">
      <c r="A146" s="171" t="s">
        <v>322</v>
      </c>
      <c r="B146" s="162"/>
      <c r="C146" s="162"/>
      <c r="D146" s="162"/>
      <c r="E146" s="162"/>
      <c r="K146" s="162"/>
      <c r="L146" s="172">
        <f>+S131</f>
        <v>22420.234126666674</v>
      </c>
      <c r="M146" s="162"/>
      <c r="N146" s="162"/>
      <c r="O146" s="162"/>
      <c r="P146" s="167"/>
      <c r="Q146" s="162"/>
      <c r="R146" s="73"/>
    </row>
    <row r="147" spans="1:18" s="77" customFormat="1" x14ac:dyDescent="0.25">
      <c r="A147" s="171" t="s">
        <v>107</v>
      </c>
      <c r="B147" s="162"/>
      <c r="C147" s="162"/>
      <c r="D147" s="162"/>
      <c r="E147" s="162"/>
      <c r="K147" s="162"/>
      <c r="L147" s="163">
        <f>+L145-L146</f>
        <v>59642.765873333323</v>
      </c>
      <c r="M147" s="164"/>
      <c r="N147" s="173">
        <f>+N142/L142*L147</f>
        <v>74.117790680794968</v>
      </c>
      <c r="O147" s="162"/>
      <c r="P147" s="167"/>
      <c r="Q147" s="162"/>
      <c r="R147" s="73"/>
    </row>
    <row r="148" spans="1:18" s="77" customFormat="1" x14ac:dyDescent="0.25">
      <c r="A148" s="171" t="s">
        <v>25</v>
      </c>
      <c r="B148" s="162"/>
      <c r="C148" s="162"/>
      <c r="D148" s="162"/>
      <c r="E148" s="162"/>
      <c r="K148" s="162"/>
      <c r="L148" s="167"/>
      <c r="M148" s="162"/>
      <c r="N148" s="168"/>
      <c r="O148" s="162"/>
      <c r="P148" s="167"/>
      <c r="Q148" s="162"/>
      <c r="R148" s="73"/>
    </row>
    <row r="149" spans="1:18" s="77" customFormat="1" x14ac:dyDescent="0.25">
      <c r="A149" s="171"/>
      <c r="B149" s="162"/>
      <c r="C149" s="162"/>
      <c r="D149" s="162"/>
      <c r="E149" s="162"/>
      <c r="K149" s="162"/>
      <c r="L149" s="169" t="s">
        <v>126</v>
      </c>
      <c r="M149" s="170"/>
      <c r="N149" s="170" t="s">
        <v>127</v>
      </c>
      <c r="O149" s="170"/>
      <c r="P149" s="169" t="s">
        <v>172</v>
      </c>
      <c r="Q149" s="162"/>
      <c r="R149" s="73"/>
    </row>
    <row r="150" spans="1:18" s="77" customFormat="1" x14ac:dyDescent="0.25">
      <c r="A150" s="171" t="s">
        <v>173</v>
      </c>
      <c r="B150" s="162"/>
      <c r="C150" s="162"/>
      <c r="D150" s="162"/>
      <c r="E150" s="162"/>
      <c r="K150" s="162"/>
      <c r="L150" s="163">
        <f>+L147-L142</f>
        <v>4882.7658733333228</v>
      </c>
      <c r="M150" s="164"/>
      <c r="N150" s="173">
        <f>+N147-N142</f>
        <v>6.0677906807949711</v>
      </c>
      <c r="O150" s="162"/>
      <c r="P150" s="174">
        <f>+N150/N142%</f>
        <v>8.9166652179206043</v>
      </c>
      <c r="Q150" s="162"/>
      <c r="R150" s="73"/>
    </row>
    <row r="151" spans="1:18" s="77" customFormat="1" ht="7.8" hidden="1" customHeight="1" x14ac:dyDescent="0.25">
      <c r="A151" s="175" t="s">
        <v>167</v>
      </c>
      <c r="P151" s="93"/>
      <c r="R151" s="73"/>
    </row>
    <row r="152" spans="1:18" s="77" customFormat="1" ht="13.8" hidden="1" x14ac:dyDescent="0.25">
      <c r="A152" s="176" t="s">
        <v>168</v>
      </c>
      <c r="B152" s="150"/>
      <c r="L152" s="78" t="s">
        <v>126</v>
      </c>
      <c r="N152" s="78" t="s">
        <v>122</v>
      </c>
      <c r="P152" s="93"/>
      <c r="R152" s="73"/>
    </row>
    <row r="153" spans="1:18" s="77" customFormat="1" ht="13.8" hidden="1" x14ac:dyDescent="0.25">
      <c r="A153" s="177" t="s">
        <v>65</v>
      </c>
      <c r="B153" s="150"/>
      <c r="L153" s="178">
        <v>49835.08</v>
      </c>
      <c r="N153" s="77">
        <v>61.72</v>
      </c>
      <c r="P153" s="93"/>
      <c r="R153" s="73"/>
    </row>
    <row r="154" spans="1:18" s="77" customFormat="1" ht="13.8" hidden="1" x14ac:dyDescent="0.25">
      <c r="A154" s="177" t="s">
        <v>66</v>
      </c>
      <c r="B154" s="150"/>
      <c r="L154" s="178">
        <v>515.83000000000004</v>
      </c>
      <c r="P154" s="93"/>
      <c r="R154" s="73"/>
    </row>
    <row r="155" spans="1:18" s="77" customFormat="1" ht="13.8" hidden="1" x14ac:dyDescent="0.25">
      <c r="A155" s="177" t="s">
        <v>68</v>
      </c>
      <c r="L155" s="178">
        <v>340</v>
      </c>
      <c r="P155" s="93"/>
      <c r="R155" s="73"/>
    </row>
    <row r="156" spans="1:18" s="77" customFormat="1" ht="7.2" hidden="1" customHeight="1" x14ac:dyDescent="0.25">
      <c r="A156" s="177" t="s">
        <v>67</v>
      </c>
      <c r="L156" s="179">
        <v>38.71</v>
      </c>
      <c r="P156" s="93"/>
      <c r="R156" s="73"/>
    </row>
    <row r="157" spans="1:18" s="77" customFormat="1" ht="12" hidden="1" customHeight="1" x14ac:dyDescent="0.25">
      <c r="A157" s="180"/>
      <c r="L157" s="178">
        <f>SUM(L153:L156)</f>
        <v>50729.62</v>
      </c>
      <c r="P157" s="93"/>
      <c r="R157" s="73"/>
    </row>
    <row r="158" spans="1:18" s="77" customFormat="1" x14ac:dyDescent="0.25">
      <c r="A158" s="181"/>
      <c r="B158" s="182"/>
      <c r="C158" s="182"/>
      <c r="D158" s="182"/>
      <c r="E158" s="182"/>
      <c r="K158" s="182"/>
      <c r="L158" s="182"/>
      <c r="M158" s="182"/>
      <c r="N158" s="182"/>
      <c r="O158" s="182"/>
      <c r="P158" s="183"/>
      <c r="Q158" s="182"/>
      <c r="R158" s="74"/>
    </row>
    <row r="159" spans="1:18" x14ac:dyDescent="0.25">
      <c r="C159">
        <f>+E142</f>
        <v>81812</v>
      </c>
      <c r="D159" s="284">
        <f>+L145</f>
        <v>82063</v>
      </c>
      <c r="E159" s="284">
        <f>+D159-C159</f>
        <v>251</v>
      </c>
    </row>
    <row r="160" spans="1:18" x14ac:dyDescent="0.25">
      <c r="A160" s="15" t="s">
        <v>384</v>
      </c>
      <c r="D160" s="284"/>
    </row>
    <row r="161" spans="1:5" x14ac:dyDescent="0.25">
      <c r="C161" s="210"/>
      <c r="D161" s="210"/>
      <c r="E161" s="210"/>
    </row>
    <row r="163" spans="1:5" x14ac:dyDescent="0.25">
      <c r="A163" t="s">
        <v>357</v>
      </c>
    </row>
  </sheetData>
  <sortState xmlns:xlrd2="http://schemas.microsoft.com/office/spreadsheetml/2017/richdata2" ref="A4:B51">
    <sortCondition ref="A4:A51"/>
  </sortState>
  <mergeCells count="2">
    <mergeCell ref="A54:B54"/>
    <mergeCell ref="A76:B76"/>
  </mergeCells>
  <phoneticPr fontId="38" type="noConversion"/>
  <conditionalFormatting sqref="S2 S4:S51 S53 S55:S73 A71:Q71 A72:K72 M72:P72 A73:E73 A75:S75 A77:S81 B82:R83 A83 A84:S84 A85:J86 S85:S86 A87:S89 A90:J91 S90:S91 A93:S93 S100:S103 S105:U105 S107:U112 S114:U114 S116:U117 S119:U119 S126:S128 S130 S132:S1048576">
    <cfRule type="cellIs" dxfId="4" priority="21" operator="lessThan">
      <formula>0</formula>
    </cfRule>
  </conditionalFormatting>
  <conditionalFormatting sqref="S83">
    <cfRule type="cellIs" dxfId="3" priority="2" operator="lessThan">
      <formula>0</formula>
    </cfRule>
  </conditionalFormatting>
  <conditionalFormatting sqref="S95:U95 S96:T96 S98:U98">
    <cfRule type="cellIs" dxfId="2" priority="20" operator="lessThan">
      <formula>0</formula>
    </cfRule>
  </conditionalFormatting>
  <conditionalFormatting sqref="S121:U122">
    <cfRule type="cellIs" dxfId="1" priority="1" operator="lessThan">
      <formula>0</formula>
    </cfRule>
  </conditionalFormatting>
  <conditionalFormatting sqref="T82:T83">
    <cfRule type="cellIs" dxfId="0" priority="6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Page &amp;P of &amp;N</oddFooter>
  </headerFooter>
  <ignoredErrors>
    <ignoredError sqref="R126" formulaRange="1"/>
    <ignoredError sqref="E118" 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opLeftCell="A16" zoomScaleNormal="100" workbookViewId="0">
      <selection activeCell="A67" sqref="A67:XFD68"/>
    </sheetView>
  </sheetViews>
  <sheetFormatPr defaultColWidth="8.77734375" defaultRowHeight="13.2" x14ac:dyDescent="0.25"/>
  <cols>
    <col min="1" max="3" width="8.77734375" customWidth="1"/>
    <col min="4" max="4" width="10.44140625" bestFit="1" customWidth="1"/>
    <col min="5" max="5" width="8" bestFit="1" customWidth="1"/>
    <col min="6" max="6" width="8.77734375" customWidth="1"/>
    <col min="7" max="7" width="16.5546875" customWidth="1"/>
    <col min="8" max="8" width="2.44140625" customWidth="1"/>
    <col min="9" max="9" width="19.88671875" customWidth="1"/>
    <col min="10" max="11" width="28.6640625" customWidth="1"/>
  </cols>
  <sheetData>
    <row r="1" spans="1:14" ht="13.8" x14ac:dyDescent="0.25">
      <c r="F1" s="7"/>
      <c r="G1" s="8" t="s">
        <v>69</v>
      </c>
      <c r="H1" s="8"/>
      <c r="I1" s="8"/>
      <c r="K1" s="15"/>
      <c r="L1" s="12"/>
    </row>
    <row r="2" spans="1:14" ht="13.8" x14ac:dyDescent="0.25">
      <c r="F2" s="7"/>
      <c r="G2" s="8" t="s">
        <v>34</v>
      </c>
      <c r="H2" s="8"/>
      <c r="I2" s="8" t="s">
        <v>35</v>
      </c>
      <c r="J2" s="12"/>
      <c r="K2" s="12"/>
      <c r="L2" s="12"/>
    </row>
    <row r="3" spans="1:14" ht="13.8" x14ac:dyDescent="0.25">
      <c r="F3" s="7"/>
      <c r="G3" s="8" t="s">
        <v>63</v>
      </c>
      <c r="H3" s="8"/>
      <c r="I3" s="8" t="s">
        <v>61</v>
      </c>
      <c r="J3" s="12"/>
      <c r="K3" s="12"/>
      <c r="L3" s="12"/>
    </row>
    <row r="4" spans="1:14" ht="13.8" x14ac:dyDescent="0.25">
      <c r="A4" s="5" t="s">
        <v>14</v>
      </c>
      <c r="G4">
        <v>15000</v>
      </c>
      <c r="I4" s="6">
        <v>7283.44</v>
      </c>
      <c r="K4" s="6"/>
      <c r="M4" s="15"/>
    </row>
    <row r="5" spans="1:14" ht="15" x14ac:dyDescent="0.25">
      <c r="A5" s="5" t="s">
        <v>0</v>
      </c>
      <c r="B5" s="2"/>
      <c r="C5" s="2"/>
      <c r="I5" s="6">
        <v>2122.14</v>
      </c>
      <c r="K5" s="6"/>
      <c r="M5" s="15"/>
    </row>
    <row r="6" spans="1:14" ht="15" x14ac:dyDescent="0.25">
      <c r="A6" s="5" t="s">
        <v>1</v>
      </c>
      <c r="B6" s="2"/>
      <c r="C6" s="2"/>
      <c r="G6">
        <v>500</v>
      </c>
      <c r="I6" s="8">
        <v>672.06</v>
      </c>
      <c r="N6" s="15"/>
    </row>
    <row r="7" spans="1:14" ht="13.8" x14ac:dyDescent="0.25">
      <c r="A7" s="5" t="s">
        <v>12</v>
      </c>
      <c r="B7" s="5"/>
      <c r="C7" s="5"/>
      <c r="D7" s="5"/>
      <c r="E7" s="5"/>
      <c r="G7">
        <v>240</v>
      </c>
      <c r="I7">
        <v>240</v>
      </c>
    </row>
    <row r="8" spans="1:14" ht="13.8" x14ac:dyDescent="0.25">
      <c r="A8" s="5" t="s">
        <v>2</v>
      </c>
      <c r="B8" s="5"/>
      <c r="C8" s="5"/>
      <c r="D8" s="5"/>
      <c r="E8" s="5"/>
      <c r="G8">
        <v>7500</v>
      </c>
      <c r="I8" s="6">
        <v>6250</v>
      </c>
    </row>
    <row r="9" spans="1:14" ht="13.8" x14ac:dyDescent="0.25">
      <c r="A9" s="5" t="s">
        <v>3</v>
      </c>
      <c r="B9" s="5"/>
      <c r="C9" s="5"/>
      <c r="D9" s="5"/>
      <c r="E9" s="5"/>
      <c r="G9">
        <v>500</v>
      </c>
      <c r="I9">
        <v>30</v>
      </c>
    </row>
    <row r="10" spans="1:14" ht="13.8" x14ac:dyDescent="0.25">
      <c r="A10" s="5" t="s">
        <v>22</v>
      </c>
      <c r="B10" s="5"/>
      <c r="C10" s="5"/>
      <c r="D10" s="5"/>
      <c r="G10">
        <v>8500</v>
      </c>
      <c r="I10">
        <v>5410.26</v>
      </c>
    </row>
    <row r="11" spans="1:14" ht="13.8" x14ac:dyDescent="0.25">
      <c r="A11" s="5" t="s">
        <v>4</v>
      </c>
      <c r="B11" s="5"/>
      <c r="C11" s="5"/>
      <c r="D11" s="5"/>
      <c r="G11">
        <v>920.08</v>
      </c>
      <c r="I11">
        <v>958.16</v>
      </c>
    </row>
    <row r="12" spans="1:14" ht="13.8" x14ac:dyDescent="0.25">
      <c r="A12" s="5" t="s">
        <v>16</v>
      </c>
      <c r="B12" s="5"/>
      <c r="C12" s="5"/>
      <c r="D12" s="5"/>
      <c r="G12">
        <v>800</v>
      </c>
      <c r="I12">
        <v>0</v>
      </c>
    </row>
    <row r="13" spans="1:14" ht="13.8" x14ac:dyDescent="0.25">
      <c r="A13" s="5" t="s">
        <v>36</v>
      </c>
      <c r="B13" s="5"/>
      <c r="C13" s="5"/>
      <c r="D13" s="5"/>
      <c r="G13">
        <v>450</v>
      </c>
      <c r="I13" s="15">
        <v>252.99</v>
      </c>
    </row>
    <row r="14" spans="1:14" ht="13.8" x14ac:dyDescent="0.25">
      <c r="A14" s="5" t="s">
        <v>13</v>
      </c>
      <c r="B14" s="5"/>
      <c r="C14" s="5"/>
      <c r="D14" s="5"/>
      <c r="G14">
        <v>30</v>
      </c>
      <c r="I14">
        <v>30</v>
      </c>
    </row>
    <row r="15" spans="1:14" ht="13.8" x14ac:dyDescent="0.25">
      <c r="A15" s="5" t="s">
        <v>18</v>
      </c>
      <c r="B15" s="5"/>
      <c r="C15" s="5"/>
      <c r="D15" s="5"/>
      <c r="G15">
        <v>200</v>
      </c>
      <c r="I15" s="15" t="s">
        <v>37</v>
      </c>
    </row>
    <row r="16" spans="1:14" ht="13.8" x14ac:dyDescent="0.25">
      <c r="A16" s="5" t="s">
        <v>5</v>
      </c>
      <c r="B16" s="5"/>
      <c r="C16" s="5"/>
      <c r="D16" s="5"/>
      <c r="G16">
        <v>1500</v>
      </c>
      <c r="I16" s="15">
        <v>0</v>
      </c>
    </row>
    <row r="17" spans="1:11" ht="13.8" x14ac:dyDescent="0.25">
      <c r="A17" s="5" t="s">
        <v>6</v>
      </c>
      <c r="B17" s="5"/>
      <c r="C17" s="5"/>
      <c r="D17" s="5"/>
      <c r="G17">
        <v>0</v>
      </c>
      <c r="I17" s="15">
        <v>0</v>
      </c>
    </row>
    <row r="18" spans="1:11" ht="13.8" x14ac:dyDescent="0.25">
      <c r="A18" s="5" t="s">
        <v>7</v>
      </c>
      <c r="B18" s="5"/>
      <c r="C18" s="5"/>
      <c r="D18" s="5"/>
      <c r="E18" s="5"/>
      <c r="G18">
        <v>200</v>
      </c>
      <c r="I18" s="15">
        <v>0</v>
      </c>
    </row>
    <row r="19" spans="1:11" ht="13.8" x14ac:dyDescent="0.25">
      <c r="A19" s="5" t="s">
        <v>8</v>
      </c>
      <c r="B19" s="5"/>
      <c r="C19" s="5"/>
      <c r="D19" s="5"/>
      <c r="E19" s="5"/>
      <c r="G19">
        <v>75</v>
      </c>
      <c r="I19">
        <v>119</v>
      </c>
    </row>
    <row r="20" spans="1:11" ht="13.8" x14ac:dyDescent="0.25">
      <c r="A20" s="5" t="s">
        <v>11</v>
      </c>
      <c r="B20" s="5"/>
      <c r="C20" s="5"/>
      <c r="D20" s="5"/>
      <c r="E20" s="5"/>
      <c r="G20">
        <v>420</v>
      </c>
      <c r="I20" s="8">
        <v>504</v>
      </c>
    </row>
    <row r="21" spans="1:11" ht="13.8" x14ac:dyDescent="0.25">
      <c r="A21" s="5" t="s">
        <v>15</v>
      </c>
      <c r="B21" s="5"/>
      <c r="C21" s="5"/>
      <c r="D21" s="5"/>
      <c r="E21" s="5"/>
      <c r="G21">
        <v>250</v>
      </c>
      <c r="I21">
        <v>250</v>
      </c>
    </row>
    <row r="22" spans="1:11" ht="13.8" x14ac:dyDescent="0.25">
      <c r="A22" s="5" t="s">
        <v>9</v>
      </c>
      <c r="B22" s="5"/>
      <c r="C22" s="5"/>
      <c r="D22" s="5"/>
      <c r="E22" s="5"/>
      <c r="G22">
        <v>2000</v>
      </c>
      <c r="I22">
        <v>0</v>
      </c>
    </row>
    <row r="23" spans="1:11" ht="13.8" x14ac:dyDescent="0.25">
      <c r="A23" s="5" t="s">
        <v>10</v>
      </c>
      <c r="B23" s="5"/>
      <c r="C23" s="5"/>
      <c r="D23" s="5"/>
      <c r="E23" s="5"/>
      <c r="G23">
        <v>250</v>
      </c>
      <c r="I23">
        <v>0</v>
      </c>
    </row>
    <row r="24" spans="1:11" s="15" customFormat="1" ht="13.8" x14ac:dyDescent="0.25">
      <c r="A24" s="5" t="s">
        <v>33</v>
      </c>
      <c r="B24" s="5"/>
      <c r="C24" s="5"/>
      <c r="D24" s="5"/>
      <c r="E24" s="5"/>
      <c r="H24" s="19"/>
    </row>
    <row r="25" spans="1:11" s="15" customFormat="1" ht="13.8" x14ac:dyDescent="0.25">
      <c r="A25" s="5" t="s">
        <v>32</v>
      </c>
      <c r="B25" s="5"/>
      <c r="C25" s="5"/>
      <c r="D25" s="5"/>
      <c r="E25" s="5"/>
      <c r="G25" s="15">
        <v>5000</v>
      </c>
      <c r="H25" s="19"/>
      <c r="I25" s="15">
        <v>22.5</v>
      </c>
    </row>
    <row r="26" spans="1:11" ht="13.8" x14ac:dyDescent="0.25">
      <c r="A26" s="5" t="s">
        <v>23</v>
      </c>
      <c r="B26" s="5"/>
      <c r="C26" s="5"/>
      <c r="D26" s="5"/>
      <c r="E26" s="5"/>
      <c r="G26" s="15">
        <v>350</v>
      </c>
      <c r="I26" s="15">
        <v>180.42</v>
      </c>
    </row>
    <row r="27" spans="1:11" s="9" customFormat="1" ht="15" x14ac:dyDescent="0.25">
      <c r="A27" s="5" t="s">
        <v>17</v>
      </c>
      <c r="B27" s="1"/>
      <c r="C27" s="1"/>
      <c r="D27" s="1"/>
      <c r="E27" s="1"/>
      <c r="G27" s="15">
        <v>750</v>
      </c>
      <c r="I27" s="15">
        <v>0</v>
      </c>
    </row>
    <row r="28" spans="1:11" s="9" customFormat="1" ht="15" x14ac:dyDescent="0.25">
      <c r="A28" s="5" t="s">
        <v>19</v>
      </c>
      <c r="B28" s="1"/>
      <c r="C28" s="1"/>
      <c r="D28" s="1"/>
      <c r="E28" s="1"/>
      <c r="G28" s="15">
        <v>200</v>
      </c>
      <c r="H28" s="15"/>
      <c r="I28" s="30" t="s">
        <v>37</v>
      </c>
    </row>
    <row r="29" spans="1:11" ht="15" x14ac:dyDescent="0.25">
      <c r="A29" s="5" t="s">
        <v>24</v>
      </c>
      <c r="B29" s="2"/>
      <c r="C29" s="2"/>
      <c r="D29" s="2"/>
      <c r="E29" s="2"/>
      <c r="G29" s="15">
        <v>4000</v>
      </c>
      <c r="H29" s="15"/>
      <c r="I29" s="10">
        <v>595</v>
      </c>
      <c r="J29" s="15" t="s">
        <v>55</v>
      </c>
      <c r="K29" s="15"/>
    </row>
    <row r="30" spans="1:11" ht="15" x14ac:dyDescent="0.25">
      <c r="A30" s="5" t="s">
        <v>21</v>
      </c>
      <c r="B30" s="2"/>
      <c r="C30" s="2"/>
      <c r="D30" s="2"/>
      <c r="E30" s="2"/>
      <c r="G30" s="15">
        <v>500</v>
      </c>
      <c r="H30" s="15"/>
      <c r="I30" s="30" t="s">
        <v>38</v>
      </c>
    </row>
    <row r="31" spans="1:11" ht="15" x14ac:dyDescent="0.25">
      <c r="A31" s="5" t="s">
        <v>20</v>
      </c>
      <c r="B31" s="2"/>
      <c r="C31" s="2"/>
      <c r="D31" s="2"/>
      <c r="E31" s="2"/>
      <c r="G31" s="15">
        <v>500</v>
      </c>
      <c r="H31" s="15"/>
      <c r="I31">
        <v>0</v>
      </c>
    </row>
    <row r="32" spans="1:11" ht="15" x14ac:dyDescent="0.25">
      <c r="A32" s="5" t="s">
        <v>26</v>
      </c>
      <c r="B32" s="2"/>
      <c r="C32" s="2"/>
      <c r="D32" s="2"/>
      <c r="E32" s="2"/>
      <c r="G32" s="15">
        <v>200</v>
      </c>
      <c r="H32" s="15"/>
      <c r="I32">
        <v>0</v>
      </c>
    </row>
    <row r="33" spans="1:9" ht="15" x14ac:dyDescent="0.25">
      <c r="A33" s="5"/>
      <c r="B33" s="2"/>
      <c r="C33" s="2"/>
      <c r="D33" s="2"/>
      <c r="E33" s="15"/>
      <c r="G33" s="21">
        <f>SUM(G4:G32)</f>
        <v>50835.08</v>
      </c>
      <c r="H33" s="13"/>
      <c r="I33" s="32">
        <f>SUM(I4:I32)</f>
        <v>24919.97</v>
      </c>
    </row>
    <row r="34" spans="1:9" ht="15" x14ac:dyDescent="0.25">
      <c r="A34" s="14" t="s">
        <v>51</v>
      </c>
      <c r="B34" s="2"/>
      <c r="C34" s="2"/>
      <c r="D34" s="2"/>
      <c r="E34" s="2"/>
      <c r="H34" s="12"/>
    </row>
    <row r="35" spans="1:9" ht="15" x14ac:dyDescent="0.25">
      <c r="A35" s="31" t="s">
        <v>52</v>
      </c>
      <c r="B35" s="2"/>
      <c r="C35" s="2"/>
      <c r="D35" s="2"/>
      <c r="E35" s="2"/>
      <c r="H35" s="12"/>
    </row>
    <row r="36" spans="1:9" ht="15" x14ac:dyDescent="0.25">
      <c r="A36" s="31" t="s">
        <v>57</v>
      </c>
      <c r="B36" s="2"/>
      <c r="C36" s="2"/>
      <c r="D36" s="2"/>
      <c r="E36" s="2"/>
    </row>
    <row r="37" spans="1:9" ht="15" x14ac:dyDescent="0.25">
      <c r="A37" s="31" t="s">
        <v>56</v>
      </c>
      <c r="B37" s="2"/>
      <c r="C37" s="2"/>
      <c r="D37" s="2"/>
      <c r="E37" s="2"/>
    </row>
    <row r="38" spans="1:9" ht="15" x14ac:dyDescent="0.25">
      <c r="A38" s="31" t="s">
        <v>58</v>
      </c>
      <c r="B38" s="2"/>
      <c r="C38" s="2"/>
      <c r="D38" s="2"/>
      <c r="E38" s="2"/>
    </row>
    <row r="39" spans="1:9" ht="15" x14ac:dyDescent="0.25">
      <c r="A39" s="31" t="s">
        <v>59</v>
      </c>
      <c r="B39" s="2"/>
      <c r="C39" s="2"/>
      <c r="D39" s="2"/>
      <c r="E39" s="2"/>
    </row>
    <row r="40" spans="1:9" ht="15" x14ac:dyDescent="0.25">
      <c r="A40" s="5"/>
      <c r="B40" s="2"/>
      <c r="C40" s="2"/>
      <c r="D40" s="2"/>
      <c r="E40" s="2"/>
    </row>
    <row r="41" spans="1:9" ht="15" x14ac:dyDescent="0.25">
      <c r="A41" s="18" t="s">
        <v>31</v>
      </c>
      <c r="B41" s="2"/>
      <c r="C41" s="2"/>
      <c r="D41" s="2"/>
      <c r="E41" s="2"/>
    </row>
    <row r="42" spans="1:9" s="15" customFormat="1" ht="15" x14ac:dyDescent="0.25">
      <c r="A42" s="27" t="s">
        <v>27</v>
      </c>
      <c r="B42" s="1"/>
      <c r="C42" s="5"/>
      <c r="D42" s="1"/>
      <c r="E42" s="1"/>
      <c r="G42" s="15">
        <v>3500</v>
      </c>
      <c r="H42" s="20"/>
    </row>
    <row r="43" spans="1:9" s="15" customFormat="1" ht="15" x14ac:dyDescent="0.25">
      <c r="A43" s="5" t="s">
        <v>39</v>
      </c>
      <c r="B43" s="1"/>
      <c r="C43" s="5"/>
      <c r="D43" s="1"/>
      <c r="E43" s="1"/>
      <c r="G43" s="19"/>
      <c r="H43" s="20"/>
      <c r="I43" s="15">
        <v>3000</v>
      </c>
    </row>
    <row r="44" spans="1:9" s="15" customFormat="1" ht="15" x14ac:dyDescent="0.25">
      <c r="A44" s="5"/>
      <c r="B44" s="1"/>
      <c r="C44" s="5"/>
      <c r="D44" s="1"/>
      <c r="E44" s="1"/>
      <c r="H44" s="20"/>
    </row>
    <row r="45" spans="1:9" ht="15" x14ac:dyDescent="0.25">
      <c r="A45" s="27" t="s">
        <v>28</v>
      </c>
      <c r="B45" s="28"/>
      <c r="C45" s="2"/>
      <c r="D45" s="2"/>
      <c r="E45" s="2"/>
      <c r="G45">
        <v>3000</v>
      </c>
      <c r="H45" s="15"/>
    </row>
    <row r="46" spans="1:9" ht="15" x14ac:dyDescent="0.25">
      <c r="A46" s="5" t="s">
        <v>40</v>
      </c>
      <c r="B46" s="2"/>
      <c r="C46" s="2"/>
      <c r="D46" s="2"/>
      <c r="E46" s="2"/>
      <c r="H46" s="15"/>
    </row>
    <row r="47" spans="1:9" ht="15" x14ac:dyDescent="0.25">
      <c r="A47" s="5" t="s">
        <v>42</v>
      </c>
      <c r="B47" s="2"/>
      <c r="C47" s="2"/>
      <c r="D47" s="2"/>
      <c r="E47" s="2"/>
      <c r="H47" s="15"/>
      <c r="I47">
        <v>170</v>
      </c>
    </row>
    <row r="48" spans="1:9" ht="15" x14ac:dyDescent="0.25">
      <c r="A48" s="5"/>
      <c r="B48" s="2"/>
      <c r="C48" s="2"/>
      <c r="D48" s="2"/>
      <c r="E48" s="2"/>
      <c r="H48" s="15"/>
    </row>
    <row r="49" spans="1:9" ht="15" x14ac:dyDescent="0.25">
      <c r="A49" s="27" t="s">
        <v>30</v>
      </c>
      <c r="B49" s="2"/>
      <c r="C49" s="2"/>
      <c r="D49" s="2"/>
      <c r="E49" s="2"/>
      <c r="G49">
        <v>4000</v>
      </c>
      <c r="H49" s="15"/>
    </row>
    <row r="50" spans="1:9" ht="15" x14ac:dyDescent="0.25">
      <c r="A50" s="22"/>
      <c r="B50" s="2"/>
      <c r="C50" s="2"/>
      <c r="D50" s="2"/>
      <c r="E50" s="2"/>
      <c r="H50" s="15"/>
    </row>
    <row r="51" spans="1:9" ht="15" x14ac:dyDescent="0.25">
      <c r="A51" s="27" t="s">
        <v>29</v>
      </c>
      <c r="B51" s="2"/>
      <c r="C51" s="2"/>
      <c r="D51" s="2"/>
      <c r="E51" s="2"/>
      <c r="G51">
        <v>10000</v>
      </c>
      <c r="H51" s="19"/>
    </row>
    <row r="52" spans="1:9" ht="15" x14ac:dyDescent="0.25">
      <c r="A52" s="24" t="s">
        <v>41</v>
      </c>
      <c r="B52" s="2"/>
      <c r="C52" s="2"/>
      <c r="D52" s="2"/>
      <c r="E52" s="2"/>
      <c r="H52" s="19"/>
      <c r="I52" s="6">
        <v>5000</v>
      </c>
    </row>
    <row r="53" spans="1:9" ht="15" x14ac:dyDescent="0.25">
      <c r="A53" s="23" t="s">
        <v>53</v>
      </c>
      <c r="B53" s="25"/>
      <c r="C53" s="25"/>
      <c r="D53" s="25"/>
      <c r="E53" s="25"/>
      <c r="H53" s="19"/>
    </row>
    <row r="54" spans="1:9" ht="15" x14ac:dyDescent="0.25">
      <c r="A54" s="23" t="s">
        <v>43</v>
      </c>
      <c r="B54" s="25"/>
      <c r="C54" s="25"/>
      <c r="D54" s="25"/>
      <c r="E54" s="25"/>
      <c r="H54" s="19"/>
    </row>
    <row r="55" spans="1:9" ht="15.6" x14ac:dyDescent="0.3">
      <c r="A55" s="23" t="s">
        <v>44</v>
      </c>
      <c r="B55" s="25"/>
      <c r="C55" s="25"/>
      <c r="D55" s="26"/>
      <c r="E55" s="25"/>
      <c r="H55" s="12"/>
    </row>
    <row r="56" spans="1:9" ht="15" x14ac:dyDescent="0.25">
      <c r="A56" s="23" t="s">
        <v>47</v>
      </c>
      <c r="B56" s="25"/>
      <c r="C56" s="25"/>
      <c r="D56" s="25"/>
      <c r="E56" s="25"/>
    </row>
    <row r="57" spans="1:9" ht="15" x14ac:dyDescent="0.25">
      <c r="A57" s="23" t="s">
        <v>45</v>
      </c>
      <c r="B57" s="25"/>
      <c r="C57" s="25"/>
      <c r="D57" s="25"/>
      <c r="E57" s="25"/>
    </row>
    <row r="58" spans="1:9" ht="15" x14ac:dyDescent="0.25">
      <c r="A58" s="23" t="s">
        <v>46</v>
      </c>
      <c r="B58" s="25"/>
      <c r="C58" s="25"/>
      <c r="D58" s="25"/>
      <c r="E58" s="25"/>
    </row>
    <row r="59" spans="1:9" ht="15.6" x14ac:dyDescent="0.3">
      <c r="A59" s="23" t="s">
        <v>48</v>
      </c>
      <c r="B59" s="3"/>
      <c r="C59" s="2"/>
      <c r="D59" s="2"/>
      <c r="E59" s="2"/>
      <c r="F59" s="6"/>
      <c r="G59" s="17"/>
    </row>
    <row r="60" spans="1:9" ht="15.6" x14ac:dyDescent="0.3">
      <c r="A60" s="16"/>
      <c r="C60" s="1"/>
      <c r="E60" s="9"/>
    </row>
    <row r="61" spans="1:9" ht="10.8" customHeight="1" x14ac:dyDescent="0.25">
      <c r="A61" s="5" t="s">
        <v>49</v>
      </c>
      <c r="C61" s="1"/>
    </row>
    <row r="62" spans="1:9" ht="10.8" customHeight="1" x14ac:dyDescent="0.25">
      <c r="A62" s="5" t="s">
        <v>50</v>
      </c>
      <c r="C62" s="1"/>
      <c r="I62">
        <v>92.94</v>
      </c>
    </row>
    <row r="63" spans="1:9" ht="13.8" x14ac:dyDescent="0.25">
      <c r="A63" s="5"/>
      <c r="F63" s="6"/>
    </row>
    <row r="64" spans="1:9" ht="13.8" x14ac:dyDescent="0.25">
      <c r="A64" s="5" t="s">
        <v>54</v>
      </c>
      <c r="F64" s="10"/>
      <c r="I64" s="29">
        <v>200</v>
      </c>
    </row>
    <row r="65" spans="1:9" ht="13.8" x14ac:dyDescent="0.25">
      <c r="A65" s="5"/>
      <c r="E65" s="9"/>
      <c r="F65" s="10"/>
      <c r="I65" s="6"/>
    </row>
    <row r="66" spans="1:9" ht="13.8" x14ac:dyDescent="0.25">
      <c r="A66" s="5"/>
      <c r="D66" s="12" t="s">
        <v>60</v>
      </c>
      <c r="E66" s="9"/>
      <c r="F66" s="10"/>
      <c r="I66" s="33">
        <v>33129.919999999998</v>
      </c>
    </row>
    <row r="67" spans="1:9" ht="13.8" x14ac:dyDescent="0.25">
      <c r="A67" s="5"/>
      <c r="E67" s="13"/>
      <c r="F67" s="10"/>
    </row>
    <row r="68" spans="1:9" ht="13.8" x14ac:dyDescent="0.25">
      <c r="A68" s="18" t="s">
        <v>64</v>
      </c>
      <c r="E68" s="13"/>
      <c r="F68" s="10"/>
    </row>
    <row r="69" spans="1:9" ht="13.8" x14ac:dyDescent="0.25">
      <c r="A69" s="5"/>
      <c r="E69" s="13"/>
      <c r="F69" s="10"/>
    </row>
    <row r="70" spans="1:9" ht="13.8" x14ac:dyDescent="0.25">
      <c r="A70" s="5" t="s">
        <v>65</v>
      </c>
      <c r="E70" s="13"/>
      <c r="F70" s="10"/>
      <c r="G70">
        <v>49835.08</v>
      </c>
    </row>
    <row r="71" spans="1:9" ht="13.8" x14ac:dyDescent="0.25">
      <c r="A71" s="5" t="s">
        <v>66</v>
      </c>
      <c r="C71" s="12"/>
      <c r="E71" s="10"/>
      <c r="F71" s="10"/>
      <c r="G71">
        <v>515.83000000000004</v>
      </c>
    </row>
    <row r="72" spans="1:9" ht="13.8" x14ac:dyDescent="0.25">
      <c r="A72" s="5" t="s">
        <v>68</v>
      </c>
      <c r="G72">
        <v>340</v>
      </c>
    </row>
    <row r="73" spans="1:9" ht="13.8" x14ac:dyDescent="0.25">
      <c r="A73" s="5" t="s">
        <v>67</v>
      </c>
      <c r="G73" s="13">
        <v>38.71</v>
      </c>
    </row>
    <row r="74" spans="1:9" ht="14.4" x14ac:dyDescent="0.3">
      <c r="A74" s="11"/>
      <c r="E74" s="6"/>
      <c r="G74">
        <f>SUM(G70:G73)</f>
        <v>50729.62</v>
      </c>
    </row>
    <row r="75" spans="1:9" x14ac:dyDescent="0.25">
      <c r="A75" s="15" t="s">
        <v>25</v>
      </c>
    </row>
    <row r="76" spans="1:9" x14ac:dyDescent="0.25">
      <c r="A76" s="15" t="s">
        <v>25</v>
      </c>
    </row>
    <row r="77" spans="1:9" x14ac:dyDescent="0.25">
      <c r="A77" s="15" t="s">
        <v>25</v>
      </c>
    </row>
    <row r="78" spans="1:9" x14ac:dyDescent="0.25">
      <c r="A78" s="15" t="s">
        <v>25</v>
      </c>
    </row>
    <row r="79" spans="1:9" x14ac:dyDescent="0.25">
      <c r="A79" s="15" t="s">
        <v>25</v>
      </c>
    </row>
    <row r="109" spans="1:7" x14ac:dyDescent="0.25">
      <c r="G109" s="4"/>
    </row>
    <row r="111" spans="1:7" s="4" customFormat="1" x14ac:dyDescent="0.25">
      <c r="A111"/>
      <c r="B111"/>
      <c r="C111"/>
      <c r="D111"/>
      <c r="E111"/>
      <c r="F111"/>
      <c r="G111"/>
    </row>
  </sheetData>
  <phoneticPr fontId="0" type="noConversion"/>
  <printOptions gridLines="1"/>
  <pageMargins left="0.74803149606299213" right="0.74803149606299213" top="0.59055118110236227" bottom="0.19685039370078741" header="0.51181102362204722" footer="0.51181102362204722"/>
  <pageSetup paperSize="9" orientation="landscape" r:id="rId1"/>
  <headerFooter alignWithMargins="0">
    <oddHeader>&amp;A</oddHeader>
    <oddFooter>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E705-49E9-409C-9B4B-B30BB8A0E8ED}">
  <dimension ref="A1:H35"/>
  <sheetViews>
    <sheetView workbookViewId="0">
      <selection activeCell="H19" sqref="H19"/>
    </sheetView>
  </sheetViews>
  <sheetFormatPr defaultRowHeight="14.4" x14ac:dyDescent="0.3"/>
  <cols>
    <col min="1" max="6" width="8.88671875" style="34"/>
    <col min="7" max="7" width="9.109375" style="34" bestFit="1" customWidth="1"/>
    <col min="8" max="16384" width="8.88671875" style="34"/>
  </cols>
  <sheetData>
    <row r="1" spans="1:8" x14ac:dyDescent="0.3">
      <c r="A1" s="52" t="s">
        <v>110</v>
      </c>
      <c r="D1" s="35"/>
    </row>
    <row r="3" spans="1:8" x14ac:dyDescent="0.3">
      <c r="A3" s="35" t="s">
        <v>70</v>
      </c>
    </row>
    <row r="5" spans="1:8" x14ac:dyDescent="0.3">
      <c r="A5" s="34" t="s">
        <v>71</v>
      </c>
      <c r="G5" s="36">
        <v>40828.71</v>
      </c>
    </row>
    <row r="7" spans="1:8" x14ac:dyDescent="0.3">
      <c r="A7" s="35" t="s">
        <v>72</v>
      </c>
    </row>
    <row r="8" spans="1:8" x14ac:dyDescent="0.3">
      <c r="A8" s="34" t="s">
        <v>73</v>
      </c>
      <c r="E8" s="36">
        <v>2402.7600000000002</v>
      </c>
    </row>
    <row r="9" spans="1:8" x14ac:dyDescent="0.3">
      <c r="A9" s="34" t="s">
        <v>74</v>
      </c>
      <c r="E9" s="37">
        <v>30</v>
      </c>
      <c r="G9" s="38">
        <v>2432.7600000000002</v>
      </c>
    </row>
    <row r="10" spans="1:8" x14ac:dyDescent="0.3">
      <c r="G10" s="36">
        <v>38395.949999999997</v>
      </c>
    </row>
    <row r="11" spans="1:8" x14ac:dyDescent="0.3">
      <c r="A11" s="39" t="s">
        <v>75</v>
      </c>
    </row>
    <row r="13" spans="1:8" x14ac:dyDescent="0.3">
      <c r="A13" s="34" t="s">
        <v>14</v>
      </c>
      <c r="E13" s="46">
        <v>1389</v>
      </c>
      <c r="H13" s="54" t="s">
        <v>132</v>
      </c>
    </row>
    <row r="14" spans="1:8" x14ac:dyDescent="0.3">
      <c r="A14" s="34" t="s">
        <v>1</v>
      </c>
      <c r="E14" s="34">
        <v>75</v>
      </c>
      <c r="H14" s="45" t="s">
        <v>105</v>
      </c>
    </row>
    <row r="15" spans="1:8" x14ac:dyDescent="0.3">
      <c r="A15" s="34" t="s">
        <v>76</v>
      </c>
      <c r="E15" s="46">
        <v>1250</v>
      </c>
      <c r="H15" s="54" t="s">
        <v>143</v>
      </c>
    </row>
    <row r="16" spans="1:8" x14ac:dyDescent="0.3">
      <c r="E16" s="46"/>
      <c r="H16" s="54"/>
    </row>
    <row r="17" spans="1:8" x14ac:dyDescent="0.3">
      <c r="A17" s="55" t="s">
        <v>138</v>
      </c>
      <c r="E17" s="46">
        <v>400</v>
      </c>
      <c r="H17" s="44" t="s">
        <v>103</v>
      </c>
    </row>
    <row r="18" spans="1:8" x14ac:dyDescent="0.3">
      <c r="A18" s="34" t="s">
        <v>77</v>
      </c>
      <c r="E18" s="45">
        <v>250</v>
      </c>
    </row>
    <row r="19" spans="1:8" x14ac:dyDescent="0.3">
      <c r="A19" s="34" t="s">
        <v>78</v>
      </c>
      <c r="E19" s="46">
        <v>1500</v>
      </c>
    </row>
    <row r="20" spans="1:8" x14ac:dyDescent="0.3">
      <c r="A20" s="34" t="s">
        <v>79</v>
      </c>
      <c r="E20" s="46">
        <v>200</v>
      </c>
    </row>
    <row r="21" spans="1:8" x14ac:dyDescent="0.3">
      <c r="A21" s="34" t="s">
        <v>20</v>
      </c>
      <c r="E21" s="46">
        <v>500</v>
      </c>
    </row>
    <row r="22" spans="1:8" x14ac:dyDescent="0.3">
      <c r="A22" s="34" t="s">
        <v>80</v>
      </c>
      <c r="E22" s="40"/>
      <c r="H22" s="54" t="s">
        <v>137</v>
      </c>
    </row>
    <row r="23" spans="1:8" x14ac:dyDescent="0.3">
      <c r="A23" s="34" t="s">
        <v>81</v>
      </c>
      <c r="E23" s="46">
        <v>500</v>
      </c>
      <c r="H23" s="45" t="s">
        <v>102</v>
      </c>
    </row>
    <row r="24" spans="1:8" x14ac:dyDescent="0.3">
      <c r="A24" s="34" t="s">
        <v>82</v>
      </c>
      <c r="E24" s="40">
        <v>70</v>
      </c>
      <c r="H24" s="45" t="s">
        <v>104</v>
      </c>
    </row>
    <row r="25" spans="1:8" x14ac:dyDescent="0.3">
      <c r="A25" s="34" t="s">
        <v>83</v>
      </c>
      <c r="E25" s="41">
        <v>70</v>
      </c>
      <c r="G25" s="42">
        <v>-6364</v>
      </c>
      <c r="H25" s="45" t="s">
        <v>104</v>
      </c>
    </row>
    <row r="26" spans="1:8" x14ac:dyDescent="0.3">
      <c r="G26" s="43">
        <v>32031.95</v>
      </c>
    </row>
    <row r="29" spans="1:8" x14ac:dyDescent="0.3">
      <c r="A29" s="35" t="s">
        <v>84</v>
      </c>
    </row>
    <row r="31" spans="1:8" x14ac:dyDescent="0.3">
      <c r="A31" s="34" t="s">
        <v>85</v>
      </c>
    </row>
    <row r="32" spans="1:8" x14ac:dyDescent="0.3">
      <c r="A32" s="34" t="s">
        <v>86</v>
      </c>
    </row>
    <row r="33" spans="1:1" x14ac:dyDescent="0.3">
      <c r="A33" s="34" t="s">
        <v>87</v>
      </c>
    </row>
    <row r="34" spans="1:1" x14ac:dyDescent="0.3">
      <c r="A34" s="34" t="s">
        <v>88</v>
      </c>
    </row>
    <row r="35" spans="1:1" x14ac:dyDescent="0.3">
      <c r="A35" s="34" t="s">
        <v>89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&amp;A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5F8A9-0FE5-4755-924D-7DD11A44495B}">
  <dimension ref="A1:B6"/>
  <sheetViews>
    <sheetView showGridLines="0" workbookViewId="0">
      <selection activeCell="B7" sqref="B7"/>
    </sheetView>
  </sheetViews>
  <sheetFormatPr defaultRowHeight="13.2" x14ac:dyDescent="0.25"/>
  <cols>
    <col min="2" max="2" width="61" customWidth="1"/>
  </cols>
  <sheetData>
    <row r="1" spans="1:2" x14ac:dyDescent="0.25">
      <c r="A1" s="15" t="s">
        <v>90</v>
      </c>
    </row>
    <row r="2" spans="1:2" x14ac:dyDescent="0.25">
      <c r="B2" s="15" t="s">
        <v>91</v>
      </c>
    </row>
    <row r="6" spans="1:2" x14ac:dyDescent="0.25">
      <c r="B6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Comparable Precepts</vt:lpstr>
      <vt:lpstr>Forecast Spend 24-25</vt:lpstr>
      <vt:lpstr>BudgerandActual Spend 24-25</vt:lpstr>
      <vt:lpstr>Spend Jan-Mar25</vt:lpstr>
      <vt:lpstr>Budget2527forNov25Mtg</vt:lpstr>
      <vt:lpstr>Spend to End Nov</vt:lpstr>
      <vt:lpstr>Anticipated spend to End Year</vt:lpstr>
      <vt:lpstr>Notes</vt:lpstr>
      <vt:lpstr>Inflation_Rate</vt:lpstr>
      <vt:lpstr>'BudgerandActual Spend 24-25'!Print_Titles</vt:lpstr>
      <vt:lpstr>Budget2527forNov25Mtg!Print_Titles</vt:lpstr>
      <vt:lpstr>'Forecast Spend 24-25'!Print_Titles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Woodland</dc:creator>
  <cp:lastModifiedBy>Sheila Woodland</cp:lastModifiedBy>
  <cp:lastPrinted>2025-09-26T17:54:57Z</cp:lastPrinted>
  <dcterms:created xsi:type="dcterms:W3CDTF">2014-01-14T20:01:44Z</dcterms:created>
  <dcterms:modified xsi:type="dcterms:W3CDTF">2025-11-23T20:07:50Z</dcterms:modified>
</cp:coreProperties>
</file>